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OSSEY\JB\Perso JB\Dossier Perso\ASPTT ROMANS\"/>
    </mc:Choice>
  </mc:AlternateContent>
  <xr:revisionPtr revIDLastSave="0" documentId="13_ncr:1_{27032B0A-6020-48DE-BC40-CFF3739ECCCD}" xr6:coauthVersionLast="47" xr6:coauthVersionMax="47" xr10:uidLastSave="{00000000-0000-0000-0000-000000000000}"/>
  <bookViews>
    <workbookView xWindow="-120" yWindow="-120" windowWidth="29040" windowHeight="15840" xr2:uid="{05376421-3822-4673-8B45-604697A84AC1}"/>
  </bookViews>
  <sheets>
    <sheet name="Liste Joueurs ASPTT Rom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at1">[1]liste!#REF!</definedName>
    <definedName name="__dat1">[1]liste!#REF!</definedName>
    <definedName name="__or1">[1]liste!#REF!</definedName>
    <definedName name="__or2">[1]liste!#REF!</definedName>
    <definedName name="_cat1">[1]liste!#REF!</definedName>
    <definedName name="_dat1">[1]liste!#REF!</definedName>
    <definedName name="_xlnm._FilterDatabase" localSheetId="0" hidden="1">'Liste Joueurs ASPTT Romans'!$A$1:$AA$1</definedName>
    <definedName name="_or1">[1]liste!#REF!</definedName>
    <definedName name="_or2">[1]liste!#REF!</definedName>
    <definedName name="catégorie">[2]liste!#REF!</definedName>
    <definedName name="clpo">#REF!</definedName>
    <definedName name="clpo_22">#REF!</definedName>
    <definedName name="comp1">[1]liste!#REF!</definedName>
    <definedName name="compétition">[2]liste!#REF!</definedName>
    <definedName name="cv">[4]Données!$C$10</definedName>
    <definedName name="dat">[4]Données!$C$5</definedName>
    <definedName name="date">[2]liste!#REF!</definedName>
    <definedName name="date_22">#REF!</definedName>
    <definedName name="div">#REF!</definedName>
    <definedName name="div_22">#REF!</definedName>
    <definedName name="Dossard_T">'[5]TS-201b'!$C$145:$G$301</definedName>
    <definedName name="épreuve">[6]Engagés!$A$5</definedName>
    <definedName name="heu">[4]Données!$C$7</definedName>
    <definedName name="HEURE">#REF!</definedName>
    <definedName name="HEURE_22">#REF!</definedName>
    <definedName name="INSCRITS">[7]Inscrits!$A$7:$I$55</definedName>
    <definedName name="JA">[2]liste!#REF!</definedName>
    <definedName name="ja_22">#REF!</definedName>
    <definedName name="jb">#REF!</definedName>
    <definedName name="jb_22">#REF!</definedName>
    <definedName name="jc">#REF!</definedName>
    <definedName name="jc_22">#REF!</definedName>
    <definedName name="jd">#REF!</definedName>
    <definedName name="jd_22">#REF!</definedName>
    <definedName name="je">#REF!</definedName>
    <definedName name="je_22">#REF!</definedName>
    <definedName name="jf">#REF!</definedName>
    <definedName name="jf_22">#REF!</definedName>
    <definedName name="jr">#REF!</definedName>
    <definedName name="jr_22">#REF!</definedName>
    <definedName name="js">#REF!</definedName>
    <definedName name="js_22">#REF!</definedName>
    <definedName name="jt">#REF!</definedName>
    <definedName name="jt_22">#REF!</definedName>
    <definedName name="jx">#REF!</definedName>
    <definedName name="jx_22">#REF!</definedName>
    <definedName name="jy">#REF!</definedName>
    <definedName name="jy_22">#REF!</definedName>
    <definedName name="jz">#REF!</definedName>
    <definedName name="jz_22">#REF!</definedName>
    <definedName name="LCartons">#REF!</definedName>
    <definedName name="lieu">[8]Engagés!$A$7</definedName>
    <definedName name="Lig">[4]Données!$C$1</definedName>
    <definedName name="Liste_B">'[5]TS-201b'!$E$15:$J$143</definedName>
    <definedName name="Liste_J">'[5]TS-200'!$A$10:$L$906</definedName>
    <definedName name="Liste_SPIDD">'[5]Export SPIDD'!$I$1:$L$192</definedName>
    <definedName name="niv">[4]Données!$C$6</definedName>
    <definedName name="NP">'[9]Liste des parties'!$1:$1048576</definedName>
    <definedName name="orga1">[2]liste!#REF!</definedName>
    <definedName name="orga2">[2]liste!#REF!</definedName>
    <definedName name="organisateur1">[10]Engagés!$A$1</definedName>
    <definedName name="organisateur2">[10]Engagés!$A$2</definedName>
    <definedName name="pltab">#REF!</definedName>
    <definedName name="pltab_22">#REF!</definedName>
    <definedName name="poA">#REF!</definedName>
    <definedName name="poA_22">#REF!</definedName>
    <definedName name="poB">#REF!</definedName>
    <definedName name="poB_22">#REF!</definedName>
    <definedName name="poC">#REF!</definedName>
    <definedName name="poC_22">#REF!</definedName>
    <definedName name="poD">#REF!</definedName>
    <definedName name="poD_22">#REF!</definedName>
    <definedName name="poE">#REF!</definedName>
    <definedName name="poE_22">#REF!</definedName>
    <definedName name="poF">#REF!</definedName>
    <definedName name="poF_22">#REF!</definedName>
    <definedName name="poG">#REF!</definedName>
    <definedName name="poG_22">#REF!</definedName>
    <definedName name="poH">#REF!</definedName>
    <definedName name="poH_22">#REF!</definedName>
    <definedName name="ponum">#REF!</definedName>
    <definedName name="ponum_22">#REF!</definedName>
    <definedName name="pou">[4]Données!$C$4</definedName>
    <definedName name="saison">'[11]Engagés DXJ'!$R$1</definedName>
    <definedName name="Salles">[4]Clubs!$A$4:$Q$212</definedName>
    <definedName name="sex">[4]Données!$C$3</definedName>
    <definedName name="tableau">[6]Engagés!$A$6</definedName>
    <definedName name="TCartons">#REF!</definedName>
    <definedName name="TF">#REF!</definedName>
    <definedName name="TF_22">#REF!</definedName>
    <definedName name="TIR">#REF!</definedName>
    <definedName name="TIR_22">#REF!</definedName>
    <definedName name="tour">[12]liste!#REF!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5" i="1" l="1"/>
  <c r="AA55" i="1"/>
  <c r="Z55" i="1"/>
  <c r="X55" i="1"/>
  <c r="V55" i="1"/>
  <c r="U55" i="1"/>
  <c r="T55" i="1"/>
  <c r="S55" i="1"/>
  <c r="R55" i="1"/>
  <c r="Q55" i="1"/>
  <c r="P55" i="1"/>
  <c r="O55" i="1"/>
  <c r="N55" i="1"/>
  <c r="M55" i="1"/>
  <c r="L55" i="1"/>
  <c r="K55" i="1"/>
  <c r="F55" i="1"/>
  <c r="E55" i="1"/>
  <c r="D55" i="1"/>
  <c r="AB54" i="1"/>
  <c r="AA54" i="1"/>
  <c r="Z54" i="1"/>
  <c r="X54" i="1"/>
  <c r="V54" i="1"/>
  <c r="T54" i="1"/>
  <c r="R54" i="1"/>
  <c r="P54" i="1"/>
  <c r="O54" i="1"/>
  <c r="N54" i="1"/>
  <c r="M54" i="1"/>
  <c r="L54" i="1"/>
  <c r="K54" i="1"/>
  <c r="F54" i="1"/>
  <c r="E54" i="1"/>
  <c r="D54" i="1"/>
  <c r="AB52" i="1"/>
  <c r="AB53" i="1" s="1"/>
  <c r="AA52" i="1"/>
  <c r="Z52" i="1"/>
  <c r="AA53" i="1" s="1"/>
  <c r="X52" i="1"/>
  <c r="X53" i="1" s="1"/>
  <c r="V52" i="1"/>
  <c r="V53" i="1" s="1"/>
  <c r="T52" i="1"/>
  <c r="T53" i="1" s="1"/>
  <c r="R52" i="1"/>
  <c r="R53" i="1" s="1"/>
  <c r="P52" i="1"/>
  <c r="P53" i="1" s="1"/>
  <c r="N52" i="1"/>
  <c r="L52" i="1"/>
  <c r="N53" i="1" s="1"/>
  <c r="F52" i="1"/>
  <c r="F53" i="1" s="1"/>
  <c r="E52" i="1"/>
  <c r="E53" i="1" s="1"/>
  <c r="D52" i="1"/>
  <c r="I50" i="1"/>
  <c r="J50" i="1" s="1"/>
  <c r="I49" i="1"/>
  <c r="J49" i="1" s="1"/>
  <c r="G49" i="1"/>
  <c r="I48" i="1"/>
  <c r="J48" i="1" s="1"/>
  <c r="H48" i="1"/>
  <c r="G48" i="1"/>
  <c r="I47" i="1"/>
  <c r="H47" i="1"/>
  <c r="J47" i="1" s="1"/>
  <c r="I46" i="1"/>
  <c r="J46" i="1" s="1"/>
  <c r="G46" i="1"/>
  <c r="J45" i="1"/>
  <c r="G45" i="1"/>
  <c r="J44" i="1"/>
  <c r="G44" i="1"/>
  <c r="I43" i="1"/>
  <c r="H43" i="1"/>
  <c r="J43" i="1" s="1"/>
  <c r="I42" i="1"/>
  <c r="H42" i="1"/>
  <c r="J42" i="1" s="1"/>
  <c r="G42" i="1"/>
  <c r="I41" i="1"/>
  <c r="H41" i="1"/>
  <c r="J41" i="1" s="1"/>
  <c r="I40" i="1"/>
  <c r="H40" i="1"/>
  <c r="J40" i="1" s="1"/>
  <c r="G40" i="1"/>
  <c r="J39" i="1"/>
  <c r="G39" i="1"/>
  <c r="J38" i="1"/>
  <c r="I38" i="1"/>
  <c r="H38" i="1"/>
  <c r="G38" i="1"/>
  <c r="I37" i="1"/>
  <c r="J37" i="1" s="1"/>
  <c r="H37" i="1"/>
  <c r="G37" i="1"/>
  <c r="J36" i="1"/>
  <c r="I36" i="1"/>
  <c r="H36" i="1"/>
  <c r="G36" i="1"/>
  <c r="I35" i="1"/>
  <c r="J35" i="1" s="1"/>
  <c r="H35" i="1"/>
  <c r="G35" i="1"/>
  <c r="J34" i="1"/>
  <c r="H34" i="1"/>
  <c r="G34" i="1"/>
  <c r="I33" i="1"/>
  <c r="H33" i="1"/>
  <c r="J33" i="1" s="1"/>
  <c r="H32" i="1"/>
  <c r="J32" i="1" s="1"/>
  <c r="I31" i="1"/>
  <c r="H31" i="1"/>
  <c r="J31" i="1" s="1"/>
  <c r="G31" i="1"/>
  <c r="H30" i="1"/>
  <c r="J30" i="1" s="1"/>
  <c r="G30" i="1"/>
  <c r="H29" i="1"/>
  <c r="J29" i="1" s="1"/>
  <c r="G29" i="1"/>
  <c r="H28" i="1"/>
  <c r="G28" i="1" s="1"/>
  <c r="I27" i="1"/>
  <c r="J27" i="1" s="1"/>
  <c r="H27" i="1"/>
  <c r="G27" i="1"/>
  <c r="I26" i="1"/>
  <c r="H26" i="1"/>
  <c r="J26" i="1" s="1"/>
  <c r="I25" i="1"/>
  <c r="J25" i="1" s="1"/>
  <c r="H25" i="1"/>
  <c r="G25" i="1"/>
  <c r="I24" i="1"/>
  <c r="J24" i="1" s="1"/>
  <c r="G24" i="1"/>
  <c r="I23" i="1"/>
  <c r="H23" i="1"/>
  <c r="J23" i="1" s="1"/>
  <c r="I22" i="1"/>
  <c r="H22" i="1"/>
  <c r="J22" i="1" s="1"/>
  <c r="G22" i="1"/>
  <c r="J21" i="1"/>
  <c r="G21" i="1"/>
  <c r="J20" i="1"/>
  <c r="G20" i="1"/>
  <c r="I19" i="1"/>
  <c r="J19" i="1" s="1"/>
  <c r="G19" i="1"/>
  <c r="J18" i="1"/>
  <c r="H18" i="1"/>
  <c r="G18" i="1"/>
  <c r="J17" i="1"/>
  <c r="H17" i="1"/>
  <c r="G17" i="1"/>
  <c r="I16" i="1"/>
  <c r="J16" i="1" s="1"/>
  <c r="G16" i="1"/>
  <c r="H15" i="1"/>
  <c r="J15" i="1" s="1"/>
  <c r="G15" i="1"/>
  <c r="H14" i="1"/>
  <c r="J14" i="1" s="1"/>
  <c r="G14" i="1"/>
  <c r="I13" i="1"/>
  <c r="J13" i="1" s="1"/>
  <c r="H13" i="1"/>
  <c r="G13" i="1"/>
  <c r="J12" i="1"/>
  <c r="I12" i="1"/>
  <c r="H12" i="1"/>
  <c r="G12" i="1"/>
  <c r="J11" i="1"/>
  <c r="J10" i="1"/>
  <c r="H10" i="1"/>
  <c r="G10" i="1"/>
  <c r="J9" i="1"/>
  <c r="I9" i="1"/>
  <c r="H9" i="1"/>
  <c r="G9" i="1"/>
  <c r="J8" i="1"/>
  <c r="G8" i="1"/>
  <c r="I7" i="1"/>
  <c r="H7" i="1"/>
  <c r="J7" i="1" s="1"/>
  <c r="I6" i="1"/>
  <c r="J6" i="1" s="1"/>
  <c r="G6" i="1"/>
  <c r="J5" i="1"/>
  <c r="H5" i="1"/>
  <c r="H55" i="1" s="1"/>
  <c r="G5" i="1"/>
  <c r="J4" i="1"/>
  <c r="G4" i="1"/>
  <c r="J3" i="1"/>
  <c r="G3" i="1"/>
  <c r="J2" i="1"/>
  <c r="G2" i="1"/>
  <c r="G7" i="1" l="1"/>
  <c r="G53" i="1" s="1"/>
  <c r="G23" i="1"/>
  <c r="G32" i="1"/>
  <c r="G41" i="1"/>
  <c r="G43" i="1"/>
  <c r="J28" i="1"/>
  <c r="J52" i="1" s="1"/>
  <c r="I53" i="1"/>
  <c r="H54" i="1"/>
  <c r="G26" i="1"/>
  <c r="G33" i="1"/>
  <c r="G47" i="1"/>
  <c r="H52" i="1"/>
  <c r="Z53" i="1"/>
  <c r="I54" i="1"/>
  <c r="I55" i="1"/>
  <c r="J53" i="1" l="1"/>
  <c r="L53" i="1"/>
  <c r="J55" i="1"/>
  <c r="J54" i="1"/>
  <c r="G54" i="1"/>
</calcChain>
</file>

<file path=xl/sharedStrings.xml><?xml version="1.0" encoding="utf-8"?>
<sst xmlns="http://schemas.openxmlformats.org/spreadsheetml/2006/main" count="181" uniqueCount="128">
  <si>
    <t>Nom</t>
  </si>
  <si>
    <t>Prénom</t>
  </si>
  <si>
    <t>Sexe</t>
  </si>
  <si>
    <t>0723</t>
  </si>
  <si>
    <t>0823</t>
  </si>
  <si>
    <t>0923</t>
  </si>
  <si>
    <t>Progression 0923</t>
  </si>
  <si>
    <t>1023</t>
  </si>
  <si>
    <t>Progression 1023</t>
  </si>
  <si>
    <t>1123</t>
  </si>
  <si>
    <t>Progression 1123</t>
  </si>
  <si>
    <t>1223</t>
  </si>
  <si>
    <t>Progression 1223</t>
  </si>
  <si>
    <t>0124</t>
  </si>
  <si>
    <t>Progression 0124</t>
  </si>
  <si>
    <t>0224</t>
  </si>
  <si>
    <t>Progression 0224</t>
  </si>
  <si>
    <t>0324</t>
  </si>
  <si>
    <t>Progression 0324</t>
  </si>
  <si>
    <t>0424</t>
  </si>
  <si>
    <t>Progression 0424</t>
  </si>
  <si>
    <t>0524</t>
  </si>
  <si>
    <t>Progression 0524</t>
  </si>
  <si>
    <t>0624</t>
  </si>
  <si>
    <t>Progression 0624</t>
  </si>
  <si>
    <t>0724</t>
  </si>
  <si>
    <t>0824</t>
  </si>
  <si>
    <t>0924</t>
  </si>
  <si>
    <t>KOSTANTINOPOULOS</t>
  </si>
  <si>
    <t>Konstantinos</t>
  </si>
  <si>
    <t>M</t>
  </si>
  <si>
    <t>LLORCA</t>
  </si>
  <si>
    <t>Damien</t>
  </si>
  <si>
    <t>BETELU</t>
  </si>
  <si>
    <t>Remi</t>
  </si>
  <si>
    <t>MAZAUD</t>
  </si>
  <si>
    <t>Corentin</t>
  </si>
  <si>
    <t>ZANELLA</t>
  </si>
  <si>
    <t>Victor</t>
  </si>
  <si>
    <t>DEGRANGE</t>
  </si>
  <si>
    <t>Dorian</t>
  </si>
  <si>
    <t>BIRO LEVESCOT</t>
  </si>
  <si>
    <t>Loris</t>
  </si>
  <si>
    <t>MARION</t>
  </si>
  <si>
    <t>Sebastien</t>
  </si>
  <si>
    <t>SOUFFLET</t>
  </si>
  <si>
    <t>Bruno</t>
  </si>
  <si>
    <t>BUTTARD</t>
  </si>
  <si>
    <t>Maxence</t>
  </si>
  <si>
    <t>GIRARD</t>
  </si>
  <si>
    <t>Mathias</t>
  </si>
  <si>
    <t>DALLARD</t>
  </si>
  <si>
    <t>Mathieu</t>
  </si>
  <si>
    <t>GUERIN</t>
  </si>
  <si>
    <t>Frédéric</t>
  </si>
  <si>
    <t>RIO</t>
  </si>
  <si>
    <t>Jean-Paul</t>
  </si>
  <si>
    <t>ANGELE</t>
  </si>
  <si>
    <t>Alexandre</t>
  </si>
  <si>
    <t>OLIVIER</t>
  </si>
  <si>
    <t>Stéphane</t>
  </si>
  <si>
    <t>THIBAUT</t>
  </si>
  <si>
    <t>Etienne</t>
  </si>
  <si>
    <t>FEUGIER</t>
  </si>
  <si>
    <t>Axel</t>
  </si>
  <si>
    <t>Vivien</t>
  </si>
  <si>
    <t>SHEPENS</t>
  </si>
  <si>
    <t>Grégory</t>
  </si>
  <si>
    <t>SIMAO</t>
  </si>
  <si>
    <t>Olivier</t>
  </si>
  <si>
    <t>VOSSEY</t>
  </si>
  <si>
    <t>Jean-Baptiste</t>
  </si>
  <si>
    <t>BREYTON</t>
  </si>
  <si>
    <t>Léna</t>
  </si>
  <si>
    <t>F</t>
  </si>
  <si>
    <t>MONTERRAT</t>
  </si>
  <si>
    <t>Samuel</t>
  </si>
  <si>
    <t>PEINADO</t>
  </si>
  <si>
    <t>BEUCHER</t>
  </si>
  <si>
    <t>Pascal</t>
  </si>
  <si>
    <t xml:space="preserve">BERLEMONT </t>
  </si>
  <si>
    <t>TEISSIER</t>
  </si>
  <si>
    <t>Richard</t>
  </si>
  <si>
    <t>FREICHE</t>
  </si>
  <si>
    <t>Michel</t>
  </si>
  <si>
    <t>TRUDDAIU</t>
  </si>
  <si>
    <t>Matis</t>
  </si>
  <si>
    <t>SHAIKH</t>
  </si>
  <si>
    <t>Rehan</t>
  </si>
  <si>
    <t>BESSET</t>
  </si>
  <si>
    <t>Benoit</t>
  </si>
  <si>
    <t>GLISIC</t>
  </si>
  <si>
    <t>Zoran</t>
  </si>
  <si>
    <t>ROUX</t>
  </si>
  <si>
    <t>David</t>
  </si>
  <si>
    <t>FERRARI</t>
  </si>
  <si>
    <t>Bastien</t>
  </si>
  <si>
    <t>FONTANA</t>
  </si>
  <si>
    <t>Louane</t>
  </si>
  <si>
    <t>CLEP</t>
  </si>
  <si>
    <t>Jean-Jacques</t>
  </si>
  <si>
    <t>SAULIOT</t>
  </si>
  <si>
    <t>Jacques</t>
  </si>
  <si>
    <t>Lubin</t>
  </si>
  <si>
    <t>LELIEVRE</t>
  </si>
  <si>
    <t>Aaron</t>
  </si>
  <si>
    <t>LEVEQUE</t>
  </si>
  <si>
    <t>Mathurin</t>
  </si>
  <si>
    <t>ROHAUT</t>
  </si>
  <si>
    <t>Philippe</t>
  </si>
  <si>
    <t>PEATIER</t>
  </si>
  <si>
    <t>Christophe</t>
  </si>
  <si>
    <t>KING</t>
  </si>
  <si>
    <t>William</t>
  </si>
  <si>
    <t>BRUN</t>
  </si>
  <si>
    <t>Anatole</t>
  </si>
  <si>
    <t>MENELET</t>
  </si>
  <si>
    <t>Jérémy</t>
  </si>
  <si>
    <t>NICOLETTI</t>
  </si>
  <si>
    <t>CALIBRE</t>
  </si>
  <si>
    <t>Anselme</t>
  </si>
  <si>
    <t>SALLES</t>
  </si>
  <si>
    <t>SOMME DES POINTS</t>
  </si>
  <si>
    <t>Progression totale</t>
  </si>
  <si>
    <t>Moyenne des points</t>
  </si>
  <si>
    <t>Mediane des points</t>
  </si>
  <si>
    <t>Classement sur Internet</t>
  </si>
  <si>
    <t>https://www.pingpocket.fr/#page-6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</si>
</sst>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0" fontId="1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0" fontId="2" fillId="0" borderId="10" xfId="0" applyFont="1" applyBorder="1"/>
    <xf numFmtId="0" fontId="0" fillId="0" borderId="10" xfId="0" applyBorder="1"/>
    <xf numFmtId="4" fontId="0" fillId="0" borderId="10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36"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family val="2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que\Bases%20de%20travail\Crit&#233;rium%20f&#233;d&#233;ral\Comp&#233;titions\V&#233;t&#233;rans\Edition%202001\V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que\Bases%20de%20travail\Crit&#233;rium%20f&#233;d&#233;ral\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90069944-my.sharepoint.com/personal/jean-baptiste_vosseyfalavel_fr/Documents/PING%20CLASSEMENT%20onedrive.xlsx" TargetMode="External"/><Relationship Id="rId1" Type="http://schemas.openxmlformats.org/officeDocument/2006/relationships/externalLinkPath" Target="https://c90069944-my.sharepoint.com/personal/jean-baptiste_vosseyfalavel_fr/Documents/PING%20CLASSEMENT%20onedriv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T\LBN\JA2\CHP\Feuille%20de%20rencontre%20Maj%202013_09_16%20G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T\F&#233;d&#233;\CFA\CFN1\CFN1_2018_2019_T4_Pont%20a%20Mousson\TAS\CFN1_2018_Gestion%20TAS_V08_Int_20181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UV%20JA2%202009%20PR%20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16KI%20-%2016J%20-%20KOCltInt-JA900v3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yle de Jeu à dvp"/>
      <sheetName val="CLASSEMENT JB VOSSEY"/>
      <sheetName val="Compte FFTT"/>
      <sheetName val="1er tour Indiv 15-10-23 -LeTeil"/>
      <sheetName val="Tournoi"/>
      <sheetName val="Liste des rencontres"/>
      <sheetName val="Liste Joueurs ASPTT Romans"/>
      <sheetName val="statistiques"/>
      <sheetName val="donnees"/>
      <sheetName val="graphiques"/>
      <sheetName val="tableau avec filtre"/>
      <sheetName val="TCD"/>
      <sheetName val="tcd classement"/>
      <sheetName val="Grille calcul points"/>
      <sheetName val="Joueurs Partis"/>
      <sheetName val="Bilan individuel compét"/>
      <sheetName val="Calendrier prévisionnel ping"/>
      <sheetName val="CE Phase 1 - 2023-2024"/>
      <sheetName val="CE Phase 2 - 2023-2024"/>
      <sheetName val="Buteurs Champnat Phase 1 23-24"/>
      <sheetName val="Regle départage équipe"/>
      <sheetName val="Buteurs Champnat Phase 2 23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ubs"/>
      <sheetName val="Licenciés"/>
      <sheetName val="Explications"/>
      <sheetName val="Données"/>
      <sheetName val="Verso de la feuille"/>
      <sheetName val="Fle Comp 4J N"/>
      <sheetName val="F 4J N"/>
      <sheetName val="A 4J N"/>
      <sheetName val="Fle Comp 4J R"/>
      <sheetName val="F 4J R"/>
      <sheetName val="A 4J R"/>
      <sheetName val="Fle Comp 6J Score acquis"/>
      <sheetName val="F 6J Score acquis N"/>
      <sheetName val="Arb 6J Score acquis N"/>
      <sheetName val="F 6J Score acquis"/>
      <sheetName val="Arb 6J Score acquis"/>
      <sheetName val="Fle Comp 6J Ttes parties jouées"/>
      <sheetName val="F 6J Ttes parties jouées"/>
      <sheetName val="Arb 6J Ttes parties jouées"/>
      <sheetName val="F 3J"/>
      <sheetName val="A 3J"/>
      <sheetName val="F 2J"/>
      <sheetName val="A 2J"/>
      <sheetName val="Fle Comp PRO"/>
      <sheetName val="F PRO"/>
      <sheetName val="Arb P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 SPIDD"/>
      <sheetName val="Sommaire"/>
      <sheetName val="TS-001"/>
      <sheetName val="TS-016a"/>
      <sheetName val="TS-016b"/>
      <sheetName val="TS-032a"/>
      <sheetName val="TS-032b"/>
      <sheetName val="TS-064a"/>
      <sheetName val="TS-064b"/>
      <sheetName val="NFRINT"/>
      <sheetName val="TS-200"/>
      <sheetName val="TS-201b"/>
      <sheetName val="TS-201c"/>
      <sheetName val="TS-208a"/>
      <sheetName val="TS-216a"/>
      <sheetName val="TS-216c"/>
      <sheetName val="TS-216d"/>
      <sheetName val="TS-232a"/>
      <sheetName val="TS-232c"/>
      <sheetName val="TS-232e"/>
      <sheetName val="TS-264a"/>
      <sheetName val="TS-264c"/>
      <sheetName val="TS-264f"/>
      <sheetName val="TS-016c"/>
      <sheetName val="TS-032c"/>
      <sheetName val="TS-064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ts"/>
      <sheetName val="Res"/>
      <sheetName val="TabF"/>
      <sheetName val="TabFAff"/>
      <sheetName val="ArbTab"/>
      <sheetName val="PA"/>
      <sheetName val="PB"/>
      <sheetName val="PC"/>
      <sheetName val="PD"/>
      <sheetName val="ArbPA"/>
      <sheetName val="ArbPB"/>
      <sheetName val="ArbPC"/>
      <sheetName val="ArbPD"/>
      <sheetName val="Tirag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des parties"/>
      <sheetName val="Tableau V1"/>
      <sheetName val="Tableau V2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5D1F86-D505-4468-B3B4-6AF27D0EF638}" name="Tableau3" displayName="Tableau3" ref="A1:AB50" totalsRowShown="0" headerRowDxfId="32" dataDxfId="31" headerRowBorderDxfId="29" tableBorderDxfId="30" totalsRowBorderDxfId="28">
  <autoFilter ref="A1:AB50" xr:uid="{F33E5D00-FAEF-4533-9147-D897F8FD4F44}"/>
  <sortState xmlns:xlrd2="http://schemas.microsoft.com/office/spreadsheetml/2017/richdata2" ref="A2:AB50">
    <sortCondition descending="1" ref="J1:J50"/>
  </sortState>
  <tableColumns count="28">
    <tableColumn id="1" xr3:uid="{D7DE2FE8-73BF-4D21-B78C-3AE4B5A994F2}" name="Nom" dataDxfId="27"/>
    <tableColumn id="2" xr3:uid="{23D52DFB-7B05-4D26-9437-35B07EA59E77}" name="Prénom" dataDxfId="26"/>
    <tableColumn id="3" xr3:uid="{E9DC7755-12D6-41C4-86BC-413DD53CEC25}" name="Sexe" dataDxfId="25"/>
    <tableColumn id="4" xr3:uid="{D8006F19-7BF9-4D5A-99AD-9289AEEA9B6D}" name="0723" dataDxfId="24"/>
    <tableColumn id="5" xr3:uid="{2A39F58C-7309-4E94-A589-A1B19ACC978D}" name="0823" dataDxfId="23"/>
    <tableColumn id="6" xr3:uid="{E92F2DEB-4801-45E3-B11A-3E970363DBF5}" name="0923" dataDxfId="22"/>
    <tableColumn id="18" xr3:uid="{3498F6EA-0A40-4D29-826A-96705F8B5A7F}" name="Progression 0923" dataDxfId="21">
      <calculatedColumnFormula>Tableau3[[#This Row],[1023]]-Tableau3[[#This Row],[0923]]</calculatedColumnFormula>
    </tableColumn>
    <tableColumn id="7" xr3:uid="{63F60862-BD90-449F-88EA-3AA8BC6B3BE6}" name="1023" dataDxfId="20">
      <calculatedColumnFormula>1275-8</calculatedColumnFormula>
    </tableColumn>
    <tableColumn id="19" xr3:uid="{20E08D41-7423-4B66-BA67-327560BE083D}" name="Progression 1023" dataDxfId="19"/>
    <tableColumn id="8" xr3:uid="{9DFEC8D2-F958-407A-96B6-07705080F56C}" name="1123" dataDxfId="18">
      <calculatedColumnFormula>H2+I2</calculatedColumnFormula>
    </tableColumn>
    <tableColumn id="20" xr3:uid="{241F7BE4-3266-4D45-8DBA-BD27CD3EB77C}" name="Progression 1123" dataDxfId="17"/>
    <tableColumn id="9" xr3:uid="{9528BB6B-04D0-4DF7-9AB3-5C2CF7348868}" name="1223" dataDxfId="16"/>
    <tableColumn id="21" xr3:uid="{DD50B8C5-CEB7-418D-88B3-94DD1D65A6CE}" name="Progression 1223" dataDxfId="15"/>
    <tableColumn id="10" xr3:uid="{1674ECE1-D63F-4569-B86A-3C3799983208}" name="0124" dataDxfId="14"/>
    <tableColumn id="22" xr3:uid="{589B0DE7-DC7F-4E81-897A-11E7128EE7A1}" name="Progression 0124" dataDxfId="13"/>
    <tableColumn id="11" xr3:uid="{D2902557-386F-4A90-AFC7-E6C1CA002BF9}" name="0224" dataDxfId="12"/>
    <tableColumn id="23" xr3:uid="{068B73E4-7A83-49C8-BF6B-954CFD123F50}" name="Progression 0224" dataDxfId="11"/>
    <tableColumn id="12" xr3:uid="{F0789D6B-DF16-469B-A79D-4CBCB6EF3E4E}" name="0324" dataDxfId="10"/>
    <tableColumn id="24" xr3:uid="{5DB92C69-B84D-4672-A07C-7680C8D0ED1B}" name="Progression 0324" dataDxfId="9"/>
    <tableColumn id="13" xr3:uid="{DA7FA03B-C479-4D5B-B003-0F2D75A3B0E7}" name="0424" dataDxfId="8"/>
    <tableColumn id="25" xr3:uid="{543381C3-2E98-4C99-BC47-F7B59F3193CF}" name="Progression 0424" dataDxfId="7"/>
    <tableColumn id="14" xr3:uid="{B2282A54-3E6C-4159-ACE0-335BDF440AA3}" name="0524" dataDxfId="6"/>
    <tableColumn id="26" xr3:uid="{AA98D785-FEA6-423B-91D8-96618360A27B}" name="Progression 0524" dataDxfId="5"/>
    <tableColumn id="15" xr3:uid="{70B98B4A-F5AF-4093-BF20-5A816B335289}" name="0624" dataDxfId="4"/>
    <tableColumn id="27" xr3:uid="{11536D6B-B98A-4759-8720-163D39CBE677}" name="Progression 0624" dataDxfId="3"/>
    <tableColumn id="16" xr3:uid="{2648BB19-240B-4D74-AECB-26CD1A0BA9BD}" name="0724" dataDxfId="2"/>
    <tableColumn id="17" xr3:uid="{8B2F2AD7-2BB4-4775-A67C-36826C57066E}" name="0824" dataDxfId="1"/>
    <tableColumn id="36" xr3:uid="{1963F19E-D631-4096-AAEF-5A504B45D547}" name="0924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ngpocke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59C-55F4-414F-B808-9F67146A7ECE}">
  <dimension ref="A1:AB58"/>
  <sheetViews>
    <sheetView tabSelected="1" zoomScale="90" zoomScaleNormal="90" workbookViewId="0">
      <selection activeCell="B23" sqref="A23:B23"/>
    </sheetView>
  </sheetViews>
  <sheetFormatPr baseColWidth="10" defaultColWidth="11.42578125" defaultRowHeight="12.75" x14ac:dyDescent="0.2"/>
  <cols>
    <col min="1" max="1" width="20.5703125" bestFit="1" customWidth="1"/>
    <col min="2" max="2" width="17.42578125" customWidth="1"/>
    <col min="3" max="3" width="6.7109375" customWidth="1"/>
    <col min="4" max="4" width="7.85546875" customWidth="1"/>
    <col min="5" max="5" width="9.5703125" customWidth="1"/>
    <col min="6" max="6" width="12.42578125" customWidth="1"/>
    <col min="7" max="7" width="12" customWidth="1"/>
    <col min="8" max="8" width="10.5703125" bestFit="1" customWidth="1"/>
    <col min="9" max="9" width="13" customWidth="1"/>
    <col min="10" max="10" width="10.5703125" bestFit="1" customWidth="1"/>
    <col min="11" max="11" width="12.42578125" customWidth="1"/>
    <col min="12" max="12" width="10.5703125" bestFit="1" customWidth="1"/>
    <col min="13" max="13" width="12.42578125" customWidth="1"/>
    <col min="14" max="14" width="10.5703125" bestFit="1" customWidth="1"/>
    <col min="15" max="15" width="13" customWidth="1"/>
    <col min="16" max="16" width="10.5703125" bestFit="1" customWidth="1"/>
    <col min="17" max="17" width="12.28515625" customWidth="1"/>
    <col min="18" max="18" width="10.5703125" bestFit="1" customWidth="1"/>
    <col min="19" max="19" width="15.140625" bestFit="1" customWidth="1"/>
    <col min="20" max="20" width="10.5703125" customWidth="1"/>
    <col min="21" max="21" width="12.5703125" customWidth="1"/>
    <col min="22" max="23" width="10.5703125" customWidth="1"/>
    <col min="24" max="24" width="10.5703125" bestFit="1" customWidth="1"/>
    <col min="25" max="25" width="10.5703125" customWidth="1"/>
    <col min="26" max="28" width="10.5703125" bestFit="1" customWidth="1"/>
    <col min="29" max="29" width="24.140625" bestFit="1" customWidth="1"/>
  </cols>
  <sheetData>
    <row r="1" spans="1:28" s="10" customFormat="1" ht="51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4" t="s">
        <v>11</v>
      </c>
      <c r="M1" s="9" t="s">
        <v>12</v>
      </c>
      <c r="N1" s="4" t="s">
        <v>13</v>
      </c>
      <c r="O1" s="9" t="s">
        <v>14</v>
      </c>
      <c r="P1" s="4" t="s">
        <v>15</v>
      </c>
      <c r="Q1" s="5" t="s">
        <v>16</v>
      </c>
      <c r="R1" s="4" t="s">
        <v>17</v>
      </c>
      <c r="S1" s="5" t="s">
        <v>18</v>
      </c>
      <c r="T1" s="4" t="s">
        <v>19</v>
      </c>
      <c r="U1" s="5" t="s">
        <v>20</v>
      </c>
      <c r="V1" s="4" t="s">
        <v>21</v>
      </c>
      <c r="W1" s="5" t="s">
        <v>22</v>
      </c>
      <c r="X1" s="4" t="s">
        <v>23</v>
      </c>
      <c r="Y1" s="5" t="s">
        <v>24</v>
      </c>
      <c r="Z1" s="4" t="s">
        <v>25</v>
      </c>
      <c r="AA1" s="4" t="s">
        <v>26</v>
      </c>
      <c r="AB1" s="4" t="s">
        <v>27</v>
      </c>
    </row>
    <row r="2" spans="1:28" x14ac:dyDescent="0.2">
      <c r="A2" s="11" t="s">
        <v>28</v>
      </c>
      <c r="B2" s="12" t="s">
        <v>29</v>
      </c>
      <c r="C2" s="13" t="s">
        <v>30</v>
      </c>
      <c r="D2" s="14">
        <v>2778</v>
      </c>
      <c r="E2" s="14">
        <v>2778</v>
      </c>
      <c r="F2" s="14">
        <v>2778</v>
      </c>
      <c r="G2" s="15">
        <f>Tableau3[[#This Row],[1023]]-Tableau3[[#This Row],[0923]]</f>
        <v>3</v>
      </c>
      <c r="H2" s="16">
        <v>2781</v>
      </c>
      <c r="I2" s="17">
        <v>9</v>
      </c>
      <c r="J2" s="18">
        <f t="shared" ref="J2:J19" si="0">H2+I2</f>
        <v>2790</v>
      </c>
      <c r="K2" s="19"/>
      <c r="L2" s="20"/>
      <c r="M2" s="19"/>
      <c r="N2" s="21"/>
      <c r="O2" s="22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">
      <c r="A3" s="23" t="s">
        <v>31</v>
      </c>
      <c r="B3" s="24" t="s">
        <v>32</v>
      </c>
      <c r="C3" s="25" t="s">
        <v>30</v>
      </c>
      <c r="D3" s="14">
        <v>2711</v>
      </c>
      <c r="E3" s="14">
        <v>2711</v>
      </c>
      <c r="F3" s="14">
        <v>2711</v>
      </c>
      <c r="G3" s="15">
        <f>Tableau3[[#This Row],[1023]]-Tableau3[[#This Row],[0923]]</f>
        <v>5.0000000000181899E-2</v>
      </c>
      <c r="H3" s="16">
        <v>2711.05</v>
      </c>
      <c r="I3" s="17">
        <v>29</v>
      </c>
      <c r="J3" s="18">
        <f t="shared" si="0"/>
        <v>2740.05</v>
      </c>
      <c r="K3" s="26"/>
      <c r="L3" s="20"/>
      <c r="M3" s="26"/>
      <c r="N3" s="21"/>
      <c r="O3" s="2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">
      <c r="A4" s="11" t="s">
        <v>33</v>
      </c>
      <c r="B4" s="12" t="s">
        <v>34</v>
      </c>
      <c r="C4" s="13" t="s">
        <v>30</v>
      </c>
      <c r="D4" s="14">
        <v>2630</v>
      </c>
      <c r="E4" s="14">
        <v>2630</v>
      </c>
      <c r="F4" s="14">
        <v>2630</v>
      </c>
      <c r="G4" s="15">
        <f>Tableau3[[#This Row],[1023]]-Tableau3[[#This Row],[0923]]</f>
        <v>-2.1999999999998181</v>
      </c>
      <c r="H4" s="16">
        <v>2627.8</v>
      </c>
      <c r="I4" s="17">
        <v>4.7</v>
      </c>
      <c r="J4" s="18">
        <f t="shared" si="0"/>
        <v>2632.5</v>
      </c>
      <c r="K4" s="26"/>
      <c r="L4" s="20"/>
      <c r="M4" s="26"/>
      <c r="N4" s="21"/>
      <c r="O4" s="27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">
      <c r="A5" s="23" t="s">
        <v>35</v>
      </c>
      <c r="B5" s="24" t="s">
        <v>36</v>
      </c>
      <c r="C5" s="25" t="s">
        <v>30</v>
      </c>
      <c r="D5" s="14">
        <v>2692</v>
      </c>
      <c r="E5" s="14">
        <v>2692</v>
      </c>
      <c r="F5" s="14">
        <v>2692</v>
      </c>
      <c r="G5" s="15">
        <f>Tableau3[[#This Row],[1023]]-Tableau3[[#This Row],[0923]]</f>
        <v>-14.099999999999909</v>
      </c>
      <c r="H5" s="16">
        <f>2692-15+0.4+0.5</f>
        <v>2677.9</v>
      </c>
      <c r="I5" s="17">
        <v>-59.5</v>
      </c>
      <c r="J5" s="18">
        <f t="shared" si="0"/>
        <v>2618.4</v>
      </c>
      <c r="K5" s="26"/>
      <c r="L5" s="20"/>
      <c r="M5" s="26"/>
      <c r="N5" s="21"/>
      <c r="O5" s="2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">
      <c r="A6" s="23" t="s">
        <v>37</v>
      </c>
      <c r="B6" s="24" t="s">
        <v>38</v>
      </c>
      <c r="C6" s="13" t="s">
        <v>30</v>
      </c>
      <c r="D6" s="14">
        <v>2100</v>
      </c>
      <c r="E6" s="14">
        <v>2100</v>
      </c>
      <c r="F6" s="14">
        <v>2100</v>
      </c>
      <c r="G6" s="15">
        <f>Tableau3[[#This Row],[1023]]-Tableau3[[#This Row],[0923]]</f>
        <v>5</v>
      </c>
      <c r="H6" s="16">
        <v>2105</v>
      </c>
      <c r="I6" s="17">
        <f>-5+17-18.8-18.8+0.8+0.8+1.5+3-10+3+5-9.4-0.4+0+0.4+0.8+1.5+2.2+3.8-6-1.5-0.4+0.4+0.4+0.8+1.5+2.2+2.2+4.1+9.8+16.5</f>
        <v>7.4000000000000021</v>
      </c>
      <c r="J6" s="18">
        <f t="shared" si="0"/>
        <v>2112.4</v>
      </c>
      <c r="K6" s="26"/>
      <c r="L6" s="20"/>
      <c r="M6" s="26"/>
      <c r="N6" s="21"/>
      <c r="O6" s="2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">
      <c r="A7" s="23" t="s">
        <v>39</v>
      </c>
      <c r="B7" s="24" t="s">
        <v>40</v>
      </c>
      <c r="C7" s="13" t="s">
        <v>30</v>
      </c>
      <c r="D7" s="14">
        <v>2063</v>
      </c>
      <c r="E7" s="14">
        <v>2063</v>
      </c>
      <c r="F7" s="14">
        <v>2063</v>
      </c>
      <c r="G7" s="15">
        <f>Tableau3[[#This Row],[1023]]-Tableau3[[#This Row],[0923]]</f>
        <v>-3</v>
      </c>
      <c r="H7" s="16">
        <f>2063+4-1-6</f>
        <v>2060</v>
      </c>
      <c r="I7" s="17">
        <f>-2+1+2+1+5.5</f>
        <v>7.5</v>
      </c>
      <c r="J7" s="18">
        <f t="shared" si="0"/>
        <v>2067.5</v>
      </c>
      <c r="K7" s="26"/>
      <c r="L7" s="20"/>
      <c r="M7" s="26"/>
      <c r="N7" s="21"/>
      <c r="O7" s="2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">
      <c r="A8" s="23" t="s">
        <v>41</v>
      </c>
      <c r="B8" s="24" t="s">
        <v>42</v>
      </c>
      <c r="C8" s="25" t="s">
        <v>30</v>
      </c>
      <c r="D8" s="14">
        <v>2066</v>
      </c>
      <c r="E8" s="14">
        <v>2066</v>
      </c>
      <c r="F8" s="14">
        <v>2066</v>
      </c>
      <c r="G8" s="15">
        <f>Tableau3[[#This Row],[1023]]-Tableau3[[#This Row],[0923]]</f>
        <v>0</v>
      </c>
      <c r="H8" s="16">
        <v>2066</v>
      </c>
      <c r="I8" s="17">
        <v>0</v>
      </c>
      <c r="J8" s="18">
        <f t="shared" si="0"/>
        <v>2066</v>
      </c>
      <c r="K8" s="26"/>
      <c r="L8" s="20"/>
      <c r="M8" s="26"/>
      <c r="N8" s="21"/>
      <c r="O8" s="2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">
      <c r="A9" s="23" t="s">
        <v>43</v>
      </c>
      <c r="B9" s="24" t="s">
        <v>44</v>
      </c>
      <c r="C9" s="13" t="s">
        <v>30</v>
      </c>
      <c r="D9" s="14">
        <v>1974</v>
      </c>
      <c r="E9" s="14">
        <v>1974</v>
      </c>
      <c r="F9" s="14">
        <v>1974</v>
      </c>
      <c r="G9" s="15">
        <f>Tableau3[[#This Row],[1023]]-Tableau3[[#This Row],[0923]]</f>
        <v>-12</v>
      </c>
      <c r="H9" s="16">
        <f>1974-7-4-1</f>
        <v>1962</v>
      </c>
      <c r="I9" s="17">
        <f>-8-1-1-12.5-4-2</f>
        <v>-28.5</v>
      </c>
      <c r="J9" s="18">
        <f t="shared" si="0"/>
        <v>1933.5</v>
      </c>
      <c r="K9" s="26"/>
      <c r="L9" s="20"/>
      <c r="M9" s="26"/>
      <c r="N9" s="21"/>
      <c r="O9" s="2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">
      <c r="A10" s="23" t="s">
        <v>45</v>
      </c>
      <c r="B10" s="24" t="s">
        <v>46</v>
      </c>
      <c r="C10" s="13" t="s">
        <v>30</v>
      </c>
      <c r="D10" s="14">
        <v>1895</v>
      </c>
      <c r="E10" s="14">
        <v>1895</v>
      </c>
      <c r="F10" s="14">
        <v>1895</v>
      </c>
      <c r="G10" s="15">
        <f>Tableau3[[#This Row],[1023]]-Tableau3[[#This Row],[0923]]</f>
        <v>4</v>
      </c>
      <c r="H10" s="16">
        <f>1895+7-3</f>
        <v>1899</v>
      </c>
      <c r="I10" s="17">
        <v>0</v>
      </c>
      <c r="J10" s="18">
        <f t="shared" si="0"/>
        <v>1899</v>
      </c>
      <c r="K10" s="26"/>
      <c r="L10" s="20"/>
      <c r="M10" s="26"/>
      <c r="N10" s="21"/>
      <c r="O10" s="27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">
      <c r="A11" s="23" t="s">
        <v>47</v>
      </c>
      <c r="B11" s="24" t="s">
        <v>48</v>
      </c>
      <c r="C11" s="25" t="s">
        <v>30</v>
      </c>
      <c r="D11" s="14">
        <v>1894</v>
      </c>
      <c r="E11" s="14">
        <v>1894</v>
      </c>
      <c r="F11" s="14">
        <v>1894</v>
      </c>
      <c r="G11" s="15">
        <v>0</v>
      </c>
      <c r="H11" s="16">
        <v>1894</v>
      </c>
      <c r="I11" s="17">
        <v>0</v>
      </c>
      <c r="J11" s="18">
        <f t="shared" si="0"/>
        <v>1894</v>
      </c>
      <c r="K11" s="26"/>
      <c r="L11" s="20"/>
      <c r="M11" s="26"/>
      <c r="N11" s="21"/>
      <c r="O11" s="2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">
      <c r="A12" s="23" t="s">
        <v>49</v>
      </c>
      <c r="B12" s="24" t="s">
        <v>50</v>
      </c>
      <c r="C12" s="13" t="s">
        <v>30</v>
      </c>
      <c r="D12" s="14">
        <v>1898</v>
      </c>
      <c r="E12" s="14">
        <v>1898</v>
      </c>
      <c r="F12" s="14">
        <v>1898</v>
      </c>
      <c r="G12" s="15">
        <f>Tableau3[[#This Row],[1023]]-Tableau3[[#This Row],[0923]]</f>
        <v>5.5</v>
      </c>
      <c r="H12" s="16">
        <f>1898+6-0.5</f>
        <v>1903.5</v>
      </c>
      <c r="I12" s="17">
        <f>-6-0.5-10-1+3</f>
        <v>-14.5</v>
      </c>
      <c r="J12" s="18">
        <f t="shared" si="0"/>
        <v>1889</v>
      </c>
      <c r="K12" s="26"/>
      <c r="L12" s="20"/>
      <c r="M12" s="26"/>
      <c r="N12" s="21"/>
      <c r="O12" s="27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">
      <c r="A13" s="23" t="s">
        <v>51</v>
      </c>
      <c r="B13" s="24" t="s">
        <v>52</v>
      </c>
      <c r="C13" s="12" t="s">
        <v>30</v>
      </c>
      <c r="D13" s="14">
        <v>1858</v>
      </c>
      <c r="E13" s="14">
        <v>1858</v>
      </c>
      <c r="F13" s="27">
        <v>1858</v>
      </c>
      <c r="G13" s="15">
        <f>Tableau3[[#This Row],[1023]]-Tableau3[[#This Row],[0923]]</f>
        <v>9</v>
      </c>
      <c r="H13" s="28">
        <f>1858+10+6-7</f>
        <v>1867</v>
      </c>
      <c r="I13" s="17">
        <f>-1-0-4.5-2+5.5</f>
        <v>-2</v>
      </c>
      <c r="J13" s="18">
        <f t="shared" si="0"/>
        <v>1865</v>
      </c>
      <c r="K13" s="26"/>
      <c r="L13" s="29"/>
      <c r="M13" s="26"/>
      <c r="N13" s="30"/>
      <c r="O13" s="27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">
      <c r="A14" s="23" t="s">
        <v>53</v>
      </c>
      <c r="B14" s="24" t="s">
        <v>54</v>
      </c>
      <c r="C14" s="13" t="s">
        <v>30</v>
      </c>
      <c r="D14" s="14">
        <v>1854</v>
      </c>
      <c r="E14" s="14">
        <v>1854</v>
      </c>
      <c r="F14" s="14">
        <v>1854</v>
      </c>
      <c r="G14" s="15">
        <f>Tableau3[[#This Row],[1023]]-Tableau3[[#This Row],[0923]]</f>
        <v>0</v>
      </c>
      <c r="H14" s="16">
        <f>1854+0</f>
        <v>1854</v>
      </c>
      <c r="I14" s="17">
        <v>0</v>
      </c>
      <c r="J14" s="18">
        <f t="shared" si="0"/>
        <v>1854</v>
      </c>
      <c r="K14" s="26"/>
      <c r="L14" s="20"/>
      <c r="M14" s="26"/>
      <c r="N14" s="21"/>
      <c r="O14" s="27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">
      <c r="A15" s="23" t="s">
        <v>55</v>
      </c>
      <c r="B15" s="24" t="s">
        <v>56</v>
      </c>
      <c r="C15" s="13" t="s">
        <v>30</v>
      </c>
      <c r="D15" s="14">
        <v>1832</v>
      </c>
      <c r="E15" s="14">
        <v>1832</v>
      </c>
      <c r="F15" s="14">
        <v>1832</v>
      </c>
      <c r="G15" s="15">
        <f>Tableau3[[#This Row],[1023]]-Tableau3[[#This Row],[0923]]</f>
        <v>0</v>
      </c>
      <c r="H15" s="16">
        <f>1832+0</f>
        <v>1832</v>
      </c>
      <c r="I15" s="17">
        <v>0</v>
      </c>
      <c r="J15" s="18">
        <f t="shared" si="0"/>
        <v>1832</v>
      </c>
      <c r="K15" s="26"/>
      <c r="L15" s="20"/>
      <c r="M15" s="26"/>
      <c r="N15" s="21"/>
      <c r="O15" s="27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">
      <c r="A16" s="23" t="s">
        <v>57</v>
      </c>
      <c r="B16" s="24" t="s">
        <v>58</v>
      </c>
      <c r="C16" s="25" t="s">
        <v>30</v>
      </c>
      <c r="D16" s="14">
        <v>1702</v>
      </c>
      <c r="E16" s="14">
        <v>1702</v>
      </c>
      <c r="F16" s="14">
        <v>1702</v>
      </c>
      <c r="G16" s="15">
        <f>Tableau3[[#This Row],[1023]]-Tableau3[[#This Row],[0923]]</f>
        <v>80</v>
      </c>
      <c r="H16" s="16">
        <v>1782</v>
      </c>
      <c r="I16" s="17">
        <f>-0.5-6.8-6+1.5+1.5+1.5+6-4-3+10-12-6-3.8-2.2-0.8-0+1.5+1.5-2.2-2.2-0.4-0-0+0.8+1.5+1.5+1.5+3+3+4.1</f>
        <v>-10.999999999999998</v>
      </c>
      <c r="J16" s="18">
        <f t="shared" si="0"/>
        <v>1771</v>
      </c>
      <c r="K16" s="26"/>
      <c r="L16" s="20"/>
      <c r="M16" s="26"/>
      <c r="N16" s="21"/>
      <c r="O16" s="2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">
      <c r="A17" s="23" t="s">
        <v>59</v>
      </c>
      <c r="B17" s="24" t="s">
        <v>60</v>
      </c>
      <c r="C17" s="13" t="s">
        <v>30</v>
      </c>
      <c r="D17" s="14">
        <v>1760</v>
      </c>
      <c r="E17" s="14">
        <v>1760</v>
      </c>
      <c r="F17" s="14">
        <v>1760</v>
      </c>
      <c r="G17" s="15">
        <f>Tableau3[[#This Row],[1023]]-Tableau3[[#This Row],[0923]]</f>
        <v>0</v>
      </c>
      <c r="H17" s="16">
        <f>1760+0</f>
        <v>1760</v>
      </c>
      <c r="I17" s="17">
        <v>0</v>
      </c>
      <c r="J17" s="18">
        <f t="shared" si="0"/>
        <v>1760</v>
      </c>
      <c r="K17" s="26"/>
      <c r="L17" s="20"/>
      <c r="M17" s="26"/>
      <c r="N17" s="21"/>
      <c r="O17" s="27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2">
      <c r="A18" s="23" t="s">
        <v>61</v>
      </c>
      <c r="B18" s="24" t="s">
        <v>62</v>
      </c>
      <c r="C18" s="13" t="s">
        <v>30</v>
      </c>
      <c r="D18" s="14">
        <v>1740</v>
      </c>
      <c r="E18" s="14">
        <v>1740</v>
      </c>
      <c r="F18" s="14">
        <v>1740</v>
      </c>
      <c r="G18" s="15">
        <f>Tableau3[[#This Row],[1023]]-Tableau3[[#This Row],[0923]]</f>
        <v>-4</v>
      </c>
      <c r="H18" s="16">
        <f>1740-1-3</f>
        <v>1736</v>
      </c>
      <c r="I18" s="17">
        <v>0</v>
      </c>
      <c r="J18" s="18">
        <f t="shared" si="0"/>
        <v>1736</v>
      </c>
      <c r="K18" s="26"/>
      <c r="L18" s="20"/>
      <c r="M18" s="26"/>
      <c r="N18" s="21"/>
      <c r="O18" s="27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">
      <c r="A19" s="23" t="s">
        <v>63</v>
      </c>
      <c r="B19" s="24" t="s">
        <v>64</v>
      </c>
      <c r="C19" s="13" t="s">
        <v>30</v>
      </c>
      <c r="D19" s="14">
        <v>1620</v>
      </c>
      <c r="E19" s="14">
        <v>1620</v>
      </c>
      <c r="F19" s="14">
        <v>1620</v>
      </c>
      <c r="G19" s="15">
        <f>Tableau3[[#This Row],[1023]]-Tableau3[[#This Row],[0923]]</f>
        <v>0</v>
      </c>
      <c r="H19" s="16">
        <v>1620</v>
      </c>
      <c r="I19" s="31">
        <f>0-0-2.2-1.5-0.8-0-0-0+5.2</f>
        <v>0.70000000000000018</v>
      </c>
      <c r="J19" s="18">
        <f t="shared" si="0"/>
        <v>1620.7</v>
      </c>
      <c r="K19" s="26"/>
      <c r="L19" s="20"/>
      <c r="M19" s="26"/>
      <c r="N19" s="21"/>
      <c r="O19" s="27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">
      <c r="A20" s="23" t="s">
        <v>63</v>
      </c>
      <c r="B20" s="24" t="s">
        <v>65</v>
      </c>
      <c r="C20" s="30" t="s">
        <v>30</v>
      </c>
      <c r="D20" s="14">
        <v>1465</v>
      </c>
      <c r="E20" s="14">
        <v>1465</v>
      </c>
      <c r="F20" s="27">
        <v>1465</v>
      </c>
      <c r="G20" s="15">
        <f>Tableau3[[#This Row],[1023]]-Tableau3[[#This Row],[0923]]</f>
        <v>0</v>
      </c>
      <c r="H20" s="28">
        <v>1465</v>
      </c>
      <c r="I20" s="17">
        <v>0</v>
      </c>
      <c r="J20" s="18">
        <f>H20+I21</f>
        <v>1465</v>
      </c>
      <c r="K20" s="26"/>
      <c r="L20" s="29"/>
      <c r="M20" s="26"/>
      <c r="N20" s="30"/>
      <c r="O20" s="27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">
      <c r="A21" s="23" t="s">
        <v>66</v>
      </c>
      <c r="B21" s="24" t="s">
        <v>67</v>
      </c>
      <c r="C21" s="13" t="s">
        <v>30</v>
      </c>
      <c r="D21" s="14">
        <v>1460</v>
      </c>
      <c r="E21" s="14">
        <v>1460</v>
      </c>
      <c r="F21" s="27">
        <v>1460</v>
      </c>
      <c r="G21" s="15">
        <f>Tableau3[[#This Row],[1023]]-Tableau3[[#This Row],[0923]]</f>
        <v>0</v>
      </c>
      <c r="H21" s="32">
        <v>1460</v>
      </c>
      <c r="I21" s="17">
        <v>0</v>
      </c>
      <c r="J21" s="18">
        <f t="shared" ref="J21:J50" si="1">H21+I21</f>
        <v>1460</v>
      </c>
      <c r="K21" s="26"/>
      <c r="L21" s="20"/>
      <c r="M21" s="26"/>
      <c r="N21" s="21"/>
      <c r="O21" s="27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">
      <c r="A22" s="23" t="s">
        <v>68</v>
      </c>
      <c r="B22" s="24" t="s">
        <v>69</v>
      </c>
      <c r="C22" s="13" t="s">
        <v>30</v>
      </c>
      <c r="D22" s="14">
        <v>1275</v>
      </c>
      <c r="E22" s="14">
        <v>1275</v>
      </c>
      <c r="F22" s="14">
        <v>1275</v>
      </c>
      <c r="G22" s="15">
        <f>Tableau3[[#This Row],[1023]]-Tableau3[[#This Row],[0923]]</f>
        <v>-8</v>
      </c>
      <c r="H22" s="16">
        <f>1275-8</f>
        <v>1267</v>
      </c>
      <c r="I22" s="33">
        <f>-2-0.5+4</f>
        <v>1.5</v>
      </c>
      <c r="J22" s="18">
        <f t="shared" si="1"/>
        <v>1268.5</v>
      </c>
      <c r="K22" s="26"/>
      <c r="L22" s="20"/>
      <c r="M22" s="26"/>
      <c r="N22" s="21"/>
      <c r="O22" s="2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">
      <c r="A23" s="50" t="s">
        <v>70</v>
      </c>
      <c r="B23" s="51" t="s">
        <v>71</v>
      </c>
      <c r="C23" s="25" t="s">
        <v>30</v>
      </c>
      <c r="D23" s="34">
        <v>1253</v>
      </c>
      <c r="E23" s="34">
        <v>1253</v>
      </c>
      <c r="F23" s="14">
        <v>1253</v>
      </c>
      <c r="G23" s="15">
        <f>Tableau3[[#This Row],[1023]]-Tableau3[[#This Row],[0923]]</f>
        <v>-9</v>
      </c>
      <c r="H23" s="16">
        <f>1253+0.4-0.4+0-3.8-5.2</f>
        <v>1244</v>
      </c>
      <c r="I23" s="17">
        <f>-4.5-4-1-12-7.5+4.5+6+6+7.5+7.5-1-0.5+5</f>
        <v>6</v>
      </c>
      <c r="J23" s="18">
        <f t="shared" si="1"/>
        <v>1250</v>
      </c>
      <c r="K23" s="26"/>
      <c r="L23" s="20"/>
      <c r="M23" s="26"/>
      <c r="N23" s="21"/>
      <c r="O23" s="27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">
      <c r="A24" s="23" t="s">
        <v>72</v>
      </c>
      <c r="B24" s="24" t="s">
        <v>73</v>
      </c>
      <c r="C24" s="25" t="s">
        <v>74</v>
      </c>
      <c r="D24" s="14">
        <v>1186</v>
      </c>
      <c r="E24" s="14">
        <v>1186</v>
      </c>
      <c r="F24" s="14">
        <v>1186</v>
      </c>
      <c r="G24" s="15">
        <f>Tableau3[[#This Row],[1023]]-Tableau3[[#This Row],[0923]]</f>
        <v>0</v>
      </c>
      <c r="H24" s="16">
        <v>1186</v>
      </c>
      <c r="I24" s="17">
        <f>-3-1+8</f>
        <v>4</v>
      </c>
      <c r="J24" s="18">
        <f t="shared" si="1"/>
        <v>1190</v>
      </c>
      <c r="K24" s="26"/>
      <c r="L24" s="20"/>
      <c r="M24" s="26"/>
      <c r="N24" s="21"/>
      <c r="O24" s="27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">
      <c r="A25" s="23" t="s">
        <v>75</v>
      </c>
      <c r="B25" s="24" t="s">
        <v>76</v>
      </c>
      <c r="C25" s="13" t="s">
        <v>30</v>
      </c>
      <c r="D25" s="14">
        <v>1149</v>
      </c>
      <c r="E25" s="14">
        <v>1149</v>
      </c>
      <c r="F25" s="14">
        <v>1149</v>
      </c>
      <c r="G25" s="15">
        <f>Tableau3[[#This Row],[1023]]-Tableau3[[#This Row],[0923]]</f>
        <v>10</v>
      </c>
      <c r="H25" s="16">
        <f>1149+7+4-1</f>
        <v>1159</v>
      </c>
      <c r="I25" s="17">
        <f>-10+4+6-4.5-3</f>
        <v>-7.5</v>
      </c>
      <c r="J25" s="18">
        <f t="shared" si="1"/>
        <v>1151.5</v>
      </c>
      <c r="K25" s="26"/>
      <c r="L25" s="20"/>
      <c r="M25" s="26"/>
      <c r="N25" s="21"/>
      <c r="O25" s="27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">
      <c r="A26" s="23" t="s">
        <v>77</v>
      </c>
      <c r="B26" s="24" t="s">
        <v>58</v>
      </c>
      <c r="C26" s="13" t="s">
        <v>30</v>
      </c>
      <c r="D26" s="14">
        <v>1150</v>
      </c>
      <c r="E26" s="14">
        <v>1150</v>
      </c>
      <c r="F26" s="14">
        <v>1150</v>
      </c>
      <c r="G26" s="15">
        <f>Tableau3[[#This Row],[1023]]-Tableau3[[#This Row],[0923]]</f>
        <v>-7.2999999999999545</v>
      </c>
      <c r="H26" s="16">
        <f>1150+3+0.5+0.4-5.2-6</f>
        <v>1142.7</v>
      </c>
      <c r="I26" s="17">
        <f>-4.5+4+4-0.5-0-0</f>
        <v>3</v>
      </c>
      <c r="J26" s="18">
        <f t="shared" si="1"/>
        <v>1145.7</v>
      </c>
      <c r="K26" s="26"/>
      <c r="L26" s="20"/>
      <c r="M26" s="26"/>
      <c r="N26" s="21"/>
      <c r="O26" s="27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">
      <c r="A27" s="23" t="s">
        <v>78</v>
      </c>
      <c r="B27" s="24" t="s">
        <v>79</v>
      </c>
      <c r="C27" s="13" t="s">
        <v>30</v>
      </c>
      <c r="D27" s="14">
        <v>1103</v>
      </c>
      <c r="E27" s="14">
        <v>1103</v>
      </c>
      <c r="F27" s="14">
        <v>1103</v>
      </c>
      <c r="G27" s="15">
        <f>Tableau3[[#This Row],[1023]]-Tableau3[[#This Row],[0923]]</f>
        <v>3.5999999999996817</v>
      </c>
      <c r="H27" s="16">
        <f>1103-1-0.5-0-5.2+0.8+0.8+0.8+3.8+4.1</f>
        <v>1106.5999999999997</v>
      </c>
      <c r="I27" s="17">
        <f>-1-0.5-0.5-10.5-6-6-4.5-0.8+9-4-0-0</f>
        <v>-24.8</v>
      </c>
      <c r="J27" s="18">
        <f t="shared" si="1"/>
        <v>1081.7999999999997</v>
      </c>
      <c r="K27" s="26"/>
      <c r="L27" s="20"/>
      <c r="M27" s="26"/>
      <c r="N27" s="21"/>
      <c r="O27" s="27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">
      <c r="A28" s="23" t="s">
        <v>80</v>
      </c>
      <c r="B28" s="24" t="s">
        <v>52</v>
      </c>
      <c r="C28" s="13" t="s">
        <v>30</v>
      </c>
      <c r="D28" s="14">
        <v>967</v>
      </c>
      <c r="E28" s="14">
        <v>967</v>
      </c>
      <c r="F28" s="14">
        <v>967</v>
      </c>
      <c r="G28" s="15">
        <f>Tableau3[[#This Row],[1023]]-Tableau3[[#This Row],[0923]]</f>
        <v>0</v>
      </c>
      <c r="H28" s="16">
        <f>967+0</f>
        <v>967</v>
      </c>
      <c r="I28" s="17">
        <v>0</v>
      </c>
      <c r="J28" s="18">
        <f t="shared" si="1"/>
        <v>967</v>
      </c>
      <c r="K28" s="26"/>
      <c r="L28" s="20"/>
      <c r="M28" s="26"/>
      <c r="N28" s="21"/>
      <c r="O28" s="27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">
      <c r="A29" s="23" t="s">
        <v>81</v>
      </c>
      <c r="B29" s="24" t="s">
        <v>82</v>
      </c>
      <c r="C29" s="12" t="s">
        <v>30</v>
      </c>
      <c r="D29" s="14">
        <v>946</v>
      </c>
      <c r="E29" s="14">
        <v>946</v>
      </c>
      <c r="F29" s="14">
        <v>946</v>
      </c>
      <c r="G29" s="15">
        <f>Tableau3[[#This Row],[1023]]-Tableau3[[#This Row],[0923]]</f>
        <v>-0.90000000000009095</v>
      </c>
      <c r="H29" s="16">
        <f>946+6+8-6-7.5-2.2+0.4+0.4</f>
        <v>945.09999999999991</v>
      </c>
      <c r="I29" s="35">
        <v>-5</v>
      </c>
      <c r="J29" s="18">
        <f t="shared" si="1"/>
        <v>940.09999999999991</v>
      </c>
      <c r="K29" s="26"/>
      <c r="L29" s="20"/>
      <c r="M29" s="26"/>
      <c r="N29" s="21"/>
      <c r="O29" s="27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">
      <c r="A30" s="23" t="s">
        <v>83</v>
      </c>
      <c r="B30" s="24" t="s">
        <v>84</v>
      </c>
      <c r="C30" s="13" t="s">
        <v>30</v>
      </c>
      <c r="D30" s="14">
        <v>941</v>
      </c>
      <c r="E30" s="14">
        <v>941</v>
      </c>
      <c r="F30" s="14">
        <v>941</v>
      </c>
      <c r="G30" s="15">
        <f>Tableau3[[#This Row],[1023]]-Tableau3[[#This Row],[0923]]</f>
        <v>-1</v>
      </c>
      <c r="H30" s="16">
        <f>941-1-0-0</f>
        <v>940</v>
      </c>
      <c r="I30" s="17">
        <v>-0.5</v>
      </c>
      <c r="J30" s="18">
        <f t="shared" si="1"/>
        <v>939.5</v>
      </c>
      <c r="K30" s="26"/>
      <c r="L30" s="20"/>
      <c r="M30" s="26"/>
      <c r="N30" s="21"/>
      <c r="O30" s="27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">
      <c r="A31" s="23" t="s">
        <v>85</v>
      </c>
      <c r="B31" s="24" t="s">
        <v>86</v>
      </c>
      <c r="C31" s="13" t="s">
        <v>30</v>
      </c>
      <c r="D31" s="14">
        <v>800</v>
      </c>
      <c r="E31" s="14">
        <v>800</v>
      </c>
      <c r="F31" s="14">
        <v>800</v>
      </c>
      <c r="G31" s="15">
        <f>Tableau3[[#This Row],[1023]]-Tableau3[[#This Row],[0923]]</f>
        <v>74</v>
      </c>
      <c r="H31" s="16">
        <f>800+17+17+40</f>
        <v>874</v>
      </c>
      <c r="I31" s="17">
        <f>-4-3+22-6.8-4.5+4.5+6+6+9+9-0-0-0</f>
        <v>38.200000000000003</v>
      </c>
      <c r="J31" s="18">
        <f t="shared" si="1"/>
        <v>912.2</v>
      </c>
      <c r="K31" s="26"/>
      <c r="L31" s="20"/>
      <c r="M31" s="26"/>
      <c r="N31" s="21"/>
      <c r="O31" s="27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">
      <c r="A32" s="23" t="s">
        <v>87</v>
      </c>
      <c r="B32" s="24" t="s">
        <v>88</v>
      </c>
      <c r="C32" s="13" t="s">
        <v>30</v>
      </c>
      <c r="D32" s="14">
        <v>874</v>
      </c>
      <c r="E32" s="14">
        <v>874</v>
      </c>
      <c r="F32" s="14">
        <v>874</v>
      </c>
      <c r="G32" s="15">
        <f>Tableau3[[#This Row],[1023]]-Tableau3[[#This Row],[0923]]</f>
        <v>-1</v>
      </c>
      <c r="H32" s="16">
        <f>874-1-0-0</f>
        <v>873</v>
      </c>
      <c r="I32" s="17">
        <v>0</v>
      </c>
      <c r="J32" s="18">
        <f t="shared" si="1"/>
        <v>873</v>
      </c>
      <c r="K32" s="26"/>
      <c r="L32" s="20"/>
      <c r="M32" s="26"/>
      <c r="N32" s="21"/>
      <c r="O32" s="2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">
      <c r="A33" s="23" t="s">
        <v>89</v>
      </c>
      <c r="B33" s="24" t="s">
        <v>90</v>
      </c>
      <c r="C33" s="13" t="s">
        <v>30</v>
      </c>
      <c r="D33" s="14">
        <v>846</v>
      </c>
      <c r="E33" s="14">
        <v>846</v>
      </c>
      <c r="F33" s="14">
        <v>846</v>
      </c>
      <c r="G33" s="15">
        <f>Tableau3[[#This Row],[1023]]-Tableau3[[#This Row],[0923]]</f>
        <v>28</v>
      </c>
      <c r="H33" s="16">
        <f>846+7+8+13</f>
        <v>874</v>
      </c>
      <c r="I33" s="17">
        <f>-6-4-1</f>
        <v>-11</v>
      </c>
      <c r="J33" s="18">
        <f t="shared" si="1"/>
        <v>863</v>
      </c>
      <c r="K33" s="26"/>
      <c r="L33" s="20"/>
      <c r="M33" s="26"/>
      <c r="N33" s="21"/>
      <c r="O33" s="27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">
      <c r="A34" s="23" t="s">
        <v>91</v>
      </c>
      <c r="B34" s="24" t="s">
        <v>92</v>
      </c>
      <c r="C34" s="13" t="s">
        <v>30</v>
      </c>
      <c r="D34" s="14">
        <v>816</v>
      </c>
      <c r="E34" s="14">
        <v>816</v>
      </c>
      <c r="F34" s="14">
        <v>816</v>
      </c>
      <c r="G34" s="15">
        <f>Tableau3[[#This Row],[1023]]-Tableau3[[#This Row],[0923]]</f>
        <v>2</v>
      </c>
      <c r="H34" s="16">
        <f>816+8-2-4</f>
        <v>818</v>
      </c>
      <c r="I34" s="17">
        <v>0</v>
      </c>
      <c r="J34" s="18">
        <f t="shared" si="1"/>
        <v>818</v>
      </c>
      <c r="K34" s="26"/>
      <c r="L34" s="20"/>
      <c r="M34" s="26"/>
      <c r="N34" s="21"/>
      <c r="O34" s="2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">
      <c r="A35" s="23" t="s">
        <v>93</v>
      </c>
      <c r="B35" s="24" t="s">
        <v>94</v>
      </c>
      <c r="C35" s="13" t="s">
        <v>30</v>
      </c>
      <c r="D35" s="14">
        <v>784</v>
      </c>
      <c r="E35" s="14">
        <v>784</v>
      </c>
      <c r="F35" s="14">
        <v>784</v>
      </c>
      <c r="G35" s="15">
        <f>Tableau3[[#This Row],[1023]]-Tableau3[[#This Row],[0923]]</f>
        <v>-2.5</v>
      </c>
      <c r="H35" s="16">
        <f>784-1-1-0.5</f>
        <v>781.5</v>
      </c>
      <c r="I35" s="17">
        <f>3+8+10+3+4+8</f>
        <v>36</v>
      </c>
      <c r="J35" s="18">
        <f t="shared" si="1"/>
        <v>817.5</v>
      </c>
      <c r="K35" s="26"/>
      <c r="L35" s="20"/>
      <c r="M35" s="26"/>
      <c r="N35" s="21"/>
      <c r="O35" s="27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">
      <c r="A36" s="23" t="s">
        <v>95</v>
      </c>
      <c r="B36" s="24" t="s">
        <v>96</v>
      </c>
      <c r="C36" s="13" t="s">
        <v>30</v>
      </c>
      <c r="D36" s="14">
        <v>782</v>
      </c>
      <c r="E36" s="14">
        <v>782</v>
      </c>
      <c r="F36" s="14">
        <v>782</v>
      </c>
      <c r="G36" s="15">
        <f>Tableau3[[#This Row],[1023]]-Tableau3[[#This Row],[0923]]</f>
        <v>22</v>
      </c>
      <c r="H36" s="16">
        <f>782-0-0+22</f>
        <v>804</v>
      </c>
      <c r="I36" s="17">
        <f>-2-1+17-0.5</f>
        <v>13.5</v>
      </c>
      <c r="J36" s="18">
        <f t="shared" si="1"/>
        <v>817.5</v>
      </c>
      <c r="K36" s="26"/>
      <c r="L36" s="20"/>
      <c r="M36" s="26"/>
      <c r="N36" s="21"/>
      <c r="O36" s="27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">
      <c r="A37" s="23" t="s">
        <v>97</v>
      </c>
      <c r="B37" s="24" t="s">
        <v>98</v>
      </c>
      <c r="C37" s="25" t="s">
        <v>74</v>
      </c>
      <c r="D37" s="14">
        <v>757</v>
      </c>
      <c r="E37" s="14">
        <v>757</v>
      </c>
      <c r="F37" s="14">
        <v>757</v>
      </c>
      <c r="G37" s="15">
        <f>Tableau3[[#This Row],[1023]]-Tableau3[[#This Row],[0923]]</f>
        <v>0</v>
      </c>
      <c r="H37" s="16">
        <f>757+8-3-5</f>
        <v>757</v>
      </c>
      <c r="I37" s="17">
        <f>2+2+3-4.5-1.5-1.5+6+7.5+8.2-7+2+2</f>
        <v>18.2</v>
      </c>
      <c r="J37" s="18">
        <f t="shared" si="1"/>
        <v>775.2</v>
      </c>
      <c r="K37" s="26"/>
      <c r="L37" s="20"/>
      <c r="M37" s="26"/>
      <c r="N37" s="21"/>
      <c r="O37" s="27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">
      <c r="A38" s="23" t="s">
        <v>99</v>
      </c>
      <c r="B38" s="24" t="s">
        <v>100</v>
      </c>
      <c r="C38" s="13" t="s">
        <v>30</v>
      </c>
      <c r="D38" s="14">
        <v>740</v>
      </c>
      <c r="E38" s="14">
        <v>740</v>
      </c>
      <c r="F38" s="14">
        <v>740</v>
      </c>
      <c r="G38" s="15">
        <f>Tableau3[[#This Row],[1023]]-Tableau3[[#This Row],[0923]]</f>
        <v>6.6000000000000227</v>
      </c>
      <c r="H38" s="16">
        <f>740-5+4+8-3-0.4+1.5+1.5</f>
        <v>746.6</v>
      </c>
      <c r="I38" s="17">
        <f>-8-5-4.5+2+2+3</f>
        <v>-10.5</v>
      </c>
      <c r="J38" s="18">
        <f t="shared" si="1"/>
        <v>736.1</v>
      </c>
      <c r="K38" s="26"/>
      <c r="L38" s="20"/>
      <c r="M38" s="26"/>
      <c r="N38" s="21"/>
      <c r="O38" s="27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">
      <c r="A39" s="23" t="s">
        <v>101</v>
      </c>
      <c r="B39" s="24" t="s">
        <v>102</v>
      </c>
      <c r="C39" s="13" t="s">
        <v>30</v>
      </c>
      <c r="D39" s="14">
        <v>735</v>
      </c>
      <c r="E39" s="14">
        <v>735</v>
      </c>
      <c r="F39" s="14">
        <v>735</v>
      </c>
      <c r="G39" s="15">
        <f>Tableau3[[#This Row],[1023]]-Tableau3[[#This Row],[0923]]</f>
        <v>0</v>
      </c>
      <c r="H39" s="16">
        <v>735</v>
      </c>
      <c r="I39" s="17">
        <v>0</v>
      </c>
      <c r="J39" s="18">
        <f t="shared" si="1"/>
        <v>735</v>
      </c>
      <c r="K39" s="26"/>
      <c r="L39" s="20"/>
      <c r="M39" s="26"/>
      <c r="N39" s="21"/>
      <c r="O39" s="27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">
      <c r="A40" s="23" t="s">
        <v>68</v>
      </c>
      <c r="B40" s="24" t="s">
        <v>103</v>
      </c>
      <c r="C40" s="13" t="s">
        <v>30</v>
      </c>
      <c r="D40" s="14">
        <v>664</v>
      </c>
      <c r="E40" s="14">
        <v>664</v>
      </c>
      <c r="F40" s="14">
        <v>664</v>
      </c>
      <c r="G40" s="15">
        <f>Tableau3[[#This Row],[1023]]-Tableau3[[#This Row],[0923]]</f>
        <v>13</v>
      </c>
      <c r="H40" s="16">
        <f>664-3-1+17</f>
        <v>677</v>
      </c>
      <c r="I40" s="17">
        <f>3+3+3-10.5-9+7.5+7.5+9+9-6+5+13</f>
        <v>34.5</v>
      </c>
      <c r="J40" s="18">
        <f t="shared" si="1"/>
        <v>711.5</v>
      </c>
      <c r="K40" s="26"/>
      <c r="L40" s="20"/>
      <c r="M40" s="26"/>
      <c r="N40" s="21"/>
      <c r="O40" s="27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">
      <c r="A41" s="23" t="s">
        <v>104</v>
      </c>
      <c r="B41" s="24" t="s">
        <v>105</v>
      </c>
      <c r="C41" s="13" t="s">
        <v>30</v>
      </c>
      <c r="D41" s="14">
        <v>622</v>
      </c>
      <c r="E41" s="14">
        <v>622</v>
      </c>
      <c r="F41" s="14">
        <v>622</v>
      </c>
      <c r="G41" s="15">
        <f>Tableau3[[#This Row],[1023]]-Tableau3[[#This Row],[0923]]</f>
        <v>38.5</v>
      </c>
      <c r="H41" s="16">
        <f>622+22+17-0.5</f>
        <v>660.5</v>
      </c>
      <c r="I41" s="17">
        <f>-7-0+17+4.5+4.5+4.5+6+8.2+9-0-0-0</f>
        <v>46.7</v>
      </c>
      <c r="J41" s="18">
        <f t="shared" si="1"/>
        <v>707.2</v>
      </c>
      <c r="K41" s="26"/>
      <c r="L41" s="20"/>
      <c r="M41" s="26"/>
      <c r="N41" s="21"/>
      <c r="O41" s="27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">
      <c r="A42" s="23" t="s">
        <v>106</v>
      </c>
      <c r="B42" s="24" t="s">
        <v>107</v>
      </c>
      <c r="C42" s="13" t="s">
        <v>30</v>
      </c>
      <c r="D42" s="14">
        <v>693</v>
      </c>
      <c r="E42" s="14">
        <v>693</v>
      </c>
      <c r="F42" s="14">
        <v>693</v>
      </c>
      <c r="G42" s="15">
        <f>Tableau3[[#This Row],[1023]]-Tableau3[[#This Row],[0923]]</f>
        <v>16</v>
      </c>
      <c r="H42" s="16">
        <f>693+4+5+7</f>
        <v>709</v>
      </c>
      <c r="I42" s="17">
        <f>-7-4+5</f>
        <v>-6</v>
      </c>
      <c r="J42" s="18">
        <f t="shared" si="1"/>
        <v>703</v>
      </c>
      <c r="K42" s="26"/>
      <c r="L42" s="20"/>
      <c r="M42" s="26"/>
      <c r="N42" s="21"/>
      <c r="O42" s="27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">
      <c r="A43" s="23" t="s">
        <v>108</v>
      </c>
      <c r="B43" s="24" t="s">
        <v>109</v>
      </c>
      <c r="C43" s="13" t="s">
        <v>30</v>
      </c>
      <c r="D43" s="14">
        <v>686</v>
      </c>
      <c r="E43" s="14">
        <v>686</v>
      </c>
      <c r="F43" s="14">
        <v>686</v>
      </c>
      <c r="G43" s="15">
        <f>Tableau3[[#This Row],[1023]]-Tableau3[[#This Row],[0923]]</f>
        <v>-17</v>
      </c>
      <c r="H43" s="16">
        <f>686-7-7-3</f>
        <v>669</v>
      </c>
      <c r="I43" s="17">
        <f>-6-6-3-5+3+4</f>
        <v>-13</v>
      </c>
      <c r="J43" s="18">
        <f t="shared" si="1"/>
        <v>656</v>
      </c>
      <c r="K43" s="26"/>
      <c r="L43" s="20"/>
      <c r="M43" s="26"/>
      <c r="N43" s="21"/>
      <c r="O43" s="27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">
      <c r="A44" s="23" t="s">
        <v>110</v>
      </c>
      <c r="B44" s="24" t="s">
        <v>111</v>
      </c>
      <c r="C44" s="25" t="s">
        <v>30</v>
      </c>
      <c r="D44" s="14">
        <v>650</v>
      </c>
      <c r="E44" s="14">
        <v>650</v>
      </c>
      <c r="F44" s="14">
        <v>650</v>
      </c>
      <c r="G44" s="15">
        <f>Tableau3[[#This Row],[1023]]-Tableau3[[#This Row],[0923]]</f>
        <v>0</v>
      </c>
      <c r="H44" s="16">
        <v>650</v>
      </c>
      <c r="I44" s="17">
        <v>0</v>
      </c>
      <c r="J44" s="18">
        <f t="shared" si="1"/>
        <v>650</v>
      </c>
      <c r="K44" s="26"/>
      <c r="L44" s="20"/>
      <c r="M44" s="26"/>
      <c r="N44" s="21"/>
      <c r="O44" s="27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">
      <c r="A45" s="23" t="s">
        <v>112</v>
      </c>
      <c r="B45" s="24" t="s">
        <v>113</v>
      </c>
      <c r="C45" s="13" t="s">
        <v>30</v>
      </c>
      <c r="D45" s="14">
        <v>650</v>
      </c>
      <c r="E45" s="14">
        <v>650</v>
      </c>
      <c r="F45" s="14">
        <v>638</v>
      </c>
      <c r="G45" s="15">
        <f>Tableau3[[#This Row],[1023]]-Tableau3[[#This Row],[0923]]</f>
        <v>0</v>
      </c>
      <c r="H45" s="16">
        <v>638</v>
      </c>
      <c r="I45" s="17">
        <v>0</v>
      </c>
      <c r="J45" s="18">
        <f t="shared" si="1"/>
        <v>638</v>
      </c>
      <c r="K45" s="26"/>
      <c r="L45" s="20"/>
      <c r="M45" s="26"/>
      <c r="N45" s="21"/>
      <c r="O45" s="27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">
      <c r="A46" s="23" t="s">
        <v>114</v>
      </c>
      <c r="B46" s="24" t="s">
        <v>115</v>
      </c>
      <c r="C46" s="13" t="s">
        <v>30</v>
      </c>
      <c r="D46" s="14">
        <v>586</v>
      </c>
      <c r="E46" s="14">
        <v>586</v>
      </c>
      <c r="F46" s="14">
        <v>586</v>
      </c>
      <c r="G46" s="15">
        <f>Tableau3[[#This Row],[1023]]-Tableau3[[#This Row],[0923]]</f>
        <v>0</v>
      </c>
      <c r="H46" s="16">
        <v>586</v>
      </c>
      <c r="I46" s="17">
        <f>5+5+5-10.5-10.5+6+7.5+7.5+7.5</f>
        <v>22.5</v>
      </c>
      <c r="J46" s="18">
        <f t="shared" si="1"/>
        <v>608.5</v>
      </c>
      <c r="K46" s="26"/>
      <c r="L46" s="20"/>
      <c r="M46" s="26"/>
      <c r="N46" s="21"/>
      <c r="O46" s="27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">
      <c r="A47" s="23" t="s">
        <v>116</v>
      </c>
      <c r="B47" s="24" t="s">
        <v>117</v>
      </c>
      <c r="C47" s="13" t="s">
        <v>30</v>
      </c>
      <c r="D47" s="14">
        <v>633</v>
      </c>
      <c r="E47" s="14">
        <v>633</v>
      </c>
      <c r="F47" s="14">
        <v>633</v>
      </c>
      <c r="G47" s="15">
        <f>Tableau3[[#This Row],[1023]]-Tableau3[[#This Row],[0923]]</f>
        <v>1</v>
      </c>
      <c r="H47" s="16">
        <f>633+8-2-5</f>
        <v>634</v>
      </c>
      <c r="I47" s="17">
        <f>-5-3-2-6-5-5</f>
        <v>-26</v>
      </c>
      <c r="J47" s="18">
        <f t="shared" si="1"/>
        <v>608</v>
      </c>
      <c r="K47" s="26"/>
      <c r="L47" s="20"/>
      <c r="M47" s="26"/>
      <c r="N47" s="21"/>
      <c r="O47" s="27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">
      <c r="A48" s="23" t="s">
        <v>118</v>
      </c>
      <c r="B48" s="24" t="s">
        <v>42</v>
      </c>
      <c r="C48" s="13" t="s">
        <v>30</v>
      </c>
      <c r="D48" s="14">
        <v>581</v>
      </c>
      <c r="E48" s="14">
        <v>581</v>
      </c>
      <c r="F48" s="14">
        <v>581</v>
      </c>
      <c r="G48" s="15">
        <f>Tableau3[[#This Row],[1023]]-Tableau3[[#This Row],[0923]]</f>
        <v>-2</v>
      </c>
      <c r="H48" s="16">
        <f>581-0.5-0.5-1</f>
        <v>579</v>
      </c>
      <c r="I48" s="17">
        <f>-5+5+5-7+5+8</f>
        <v>11</v>
      </c>
      <c r="J48" s="18">
        <f t="shared" si="1"/>
        <v>590</v>
      </c>
      <c r="K48" s="26"/>
      <c r="L48" s="20"/>
      <c r="M48" s="26"/>
      <c r="N48" s="21"/>
      <c r="O48" s="27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">
      <c r="A49" s="23" t="s">
        <v>119</v>
      </c>
      <c r="B49" s="24" t="s">
        <v>120</v>
      </c>
      <c r="C49" s="13" t="s">
        <v>30</v>
      </c>
      <c r="D49" s="14">
        <v>581</v>
      </c>
      <c r="E49" s="14">
        <v>581</v>
      </c>
      <c r="F49" s="14">
        <v>581</v>
      </c>
      <c r="G49" s="15">
        <f>Tableau3[[#This Row],[1023]]-Tableau3[[#This Row],[0923]]</f>
        <v>0</v>
      </c>
      <c r="H49" s="16">
        <v>581</v>
      </c>
      <c r="I49" s="17">
        <f>-7-5+5-7-4.5+7</f>
        <v>-11.5</v>
      </c>
      <c r="J49" s="18">
        <f t="shared" si="1"/>
        <v>569.5</v>
      </c>
      <c r="K49" s="26"/>
      <c r="L49" s="20"/>
      <c r="M49" s="26"/>
      <c r="N49" s="21"/>
      <c r="O49" s="27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">
      <c r="A50" s="23" t="s">
        <v>121</v>
      </c>
      <c r="B50" s="24" t="s">
        <v>67</v>
      </c>
      <c r="C50" s="30" t="s">
        <v>30</v>
      </c>
      <c r="D50" s="14"/>
      <c r="E50" s="14"/>
      <c r="F50" s="27">
        <v>568</v>
      </c>
      <c r="G50" s="15">
        <v>-3.5</v>
      </c>
      <c r="H50" s="28">
        <v>564.5</v>
      </c>
      <c r="I50" s="17">
        <f>-7+5+5-6.8-6.8-6.8-3-3+7.5-4-4+5</f>
        <v>-18.899999999999999</v>
      </c>
      <c r="J50" s="18">
        <f t="shared" si="1"/>
        <v>545.6</v>
      </c>
      <c r="K50" s="26"/>
      <c r="L50" s="29"/>
      <c r="M50" s="26"/>
      <c r="N50" s="30"/>
      <c r="O50" s="27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">
      <c r="A51" s="36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8" x14ac:dyDescent="0.2">
      <c r="A52" s="38" t="s">
        <v>122</v>
      </c>
      <c r="B52" s="38"/>
      <c r="C52" s="39"/>
      <c r="D52" s="40">
        <f>SUM(D$2:D$50)</f>
        <v>63442</v>
      </c>
      <c r="E52" s="40">
        <f>SUM(E$2:E$50)</f>
        <v>63442</v>
      </c>
      <c r="F52" s="40">
        <f>SUM(F$2:F$50)</f>
        <v>63998</v>
      </c>
      <c r="G52" s="41"/>
      <c r="H52" s="40">
        <f>SUM(H$2:H$50)</f>
        <v>64231.749999999993</v>
      </c>
      <c r="I52" s="41"/>
      <c r="J52" s="40">
        <f>SUM(J$2:J$50)</f>
        <v>64274.949999999983</v>
      </c>
      <c r="K52" s="41"/>
      <c r="L52" s="40">
        <f>SUM(L$2:L$50)</f>
        <v>0</v>
      </c>
      <c r="M52" s="40"/>
      <c r="N52" s="40">
        <f>SUM(N$2:N$50)</f>
        <v>0</v>
      </c>
      <c r="O52" s="40"/>
      <c r="P52" s="40">
        <f>SUM(P$2:P$50)</f>
        <v>0</v>
      </c>
      <c r="Q52" s="40"/>
      <c r="R52" s="40">
        <f>SUM(R$2:R$50)</f>
        <v>0</v>
      </c>
      <c r="S52" s="40"/>
      <c r="T52" s="40">
        <f>SUM(T$2:T$50)</f>
        <v>0</v>
      </c>
      <c r="U52" s="40"/>
      <c r="V52" s="40">
        <f>SUM(V$2:V$50)</f>
        <v>0</v>
      </c>
      <c r="W52" s="40"/>
      <c r="X52" s="40">
        <f>SUM(X$2:X$50)</f>
        <v>0</v>
      </c>
      <c r="Y52" s="40"/>
      <c r="Z52" s="40">
        <f>SUM(Z$2:Z$50)</f>
        <v>0</v>
      </c>
      <c r="AA52" s="40">
        <f>SUM(AA$2:AA$50)</f>
        <v>0</v>
      </c>
      <c r="AB52" s="40">
        <f>SUM(AB$2:AB$50)</f>
        <v>0</v>
      </c>
    </row>
    <row r="53" spans="1:28" x14ac:dyDescent="0.2">
      <c r="A53" s="42" t="s">
        <v>123</v>
      </c>
      <c r="B53" s="43"/>
      <c r="C53" s="43"/>
      <c r="D53" s="44"/>
      <c r="E53" s="44">
        <f>E52-D52</f>
        <v>0</v>
      </c>
      <c r="F53" s="44">
        <f>F52-E52</f>
        <v>556</v>
      </c>
      <c r="G53" s="45">
        <f>SUM(Tableau3[Progression 0923])</f>
        <v>233.75000000000011</v>
      </c>
      <c r="H53" s="46"/>
      <c r="I53" s="47">
        <f>SUM(Tableau3[Progression 1023])</f>
        <v>43.200000000000024</v>
      </c>
      <c r="J53" s="44">
        <f>J52-H52</f>
        <v>43.199999999989814</v>
      </c>
      <c r="K53" s="44"/>
      <c r="L53" s="44">
        <f>L52-J52</f>
        <v>-64274.949999999983</v>
      </c>
      <c r="M53" s="44"/>
      <c r="N53" s="44">
        <f>N52-L52</f>
        <v>0</v>
      </c>
      <c r="O53" s="44"/>
      <c r="P53" s="44">
        <f>P52-N52</f>
        <v>0</v>
      </c>
      <c r="Q53" s="44"/>
      <c r="R53" s="44">
        <f>R52-P52</f>
        <v>0</v>
      </c>
      <c r="S53" s="44"/>
      <c r="T53" s="44">
        <f>T52-R52</f>
        <v>0</v>
      </c>
      <c r="U53" s="44"/>
      <c r="V53" s="44">
        <f>V52-T52</f>
        <v>0</v>
      </c>
      <c r="W53" s="44"/>
      <c r="X53" s="44">
        <f>X52-V52</f>
        <v>0</v>
      </c>
      <c r="Y53" s="44"/>
      <c r="Z53" s="44">
        <f>Z52-X52</f>
        <v>0</v>
      </c>
      <c r="AA53" s="44">
        <f t="shared" ref="AA53:AB53" si="2">AA52-Z52</f>
        <v>0</v>
      </c>
      <c r="AB53" s="44">
        <f t="shared" si="2"/>
        <v>0</v>
      </c>
    </row>
    <row r="54" spans="1:28" x14ac:dyDescent="0.2">
      <c r="A54" s="42" t="s">
        <v>124</v>
      </c>
      <c r="B54" s="43"/>
      <c r="C54" s="43"/>
      <c r="D54" s="44">
        <f>AVERAGE(Tableau3[0723])</f>
        <v>1321.7083333333333</v>
      </c>
      <c r="E54" s="44">
        <f>AVERAGE(Tableau3[0823])</f>
        <v>1321.7083333333333</v>
      </c>
      <c r="F54" s="44">
        <f>AVERAGE(Tableau3[0923])</f>
        <v>1306.0816326530612</v>
      </c>
      <c r="G54" s="45">
        <f>AVERAGE(Tableau3[Progression 0923])</f>
        <v>4.7704081632653086</v>
      </c>
      <c r="H54" s="44">
        <f>AVERAGE(Tableau3[1023])</f>
        <v>1310.8520408163263</v>
      </c>
      <c r="I54" s="47">
        <f>AVERAGE(Tableau3[Progression 1023])</f>
        <v>0.88163265306122496</v>
      </c>
      <c r="J54" s="44">
        <f>AVERAGE(Tableau3[1123])</f>
        <v>1311.7336734693874</v>
      </c>
      <c r="K54" s="44" t="e">
        <f>AVERAGE(Tableau3[Progression 1123])</f>
        <v>#DIV/0!</v>
      </c>
      <c r="L54" s="44" t="e">
        <f>AVERAGE(Tableau3[1223])</f>
        <v>#DIV/0!</v>
      </c>
      <c r="M54" s="44" t="e">
        <f>AVERAGE(Tableau3[Progression 1223])</f>
        <v>#DIV/0!</v>
      </c>
      <c r="N54" s="44" t="e">
        <f>AVERAGE(Tableau3[0124])</f>
        <v>#DIV/0!</v>
      </c>
      <c r="O54" s="44" t="e">
        <f>AVERAGE(Tableau3[Progression 0124])</f>
        <v>#DIV/0!</v>
      </c>
      <c r="P54" s="44" t="e">
        <f>AVERAGE(Tableau3[0224])</f>
        <v>#DIV/0!</v>
      </c>
      <c r="Q54" s="44"/>
      <c r="R54" s="44" t="e">
        <f>AVERAGE(Tableau3[0324])</f>
        <v>#DIV/0!</v>
      </c>
      <c r="S54" s="44"/>
      <c r="T54" s="44" t="e">
        <f>AVERAGE(Tableau3[0424])</f>
        <v>#DIV/0!</v>
      </c>
      <c r="U54" s="44"/>
      <c r="V54" s="44" t="e">
        <f>AVERAGE(Tableau3[0524])</f>
        <v>#DIV/0!</v>
      </c>
      <c r="W54" s="44"/>
      <c r="X54" s="44" t="e">
        <f>AVERAGE(Tableau3[0624])</f>
        <v>#DIV/0!</v>
      </c>
      <c r="Y54" s="44"/>
      <c r="Z54" s="44" t="e">
        <f>AVERAGE(Tableau3[0724])</f>
        <v>#DIV/0!</v>
      </c>
      <c r="AA54" s="44" t="e">
        <f>AVERAGE(Tableau3[0824])</f>
        <v>#DIV/0!</v>
      </c>
      <c r="AB54" s="44" t="e">
        <f>AVERAGE(Tableau3[0924])</f>
        <v>#DIV/0!</v>
      </c>
    </row>
    <row r="55" spans="1:28" x14ac:dyDescent="0.2">
      <c r="A55" s="42" t="s">
        <v>125</v>
      </c>
      <c r="B55" s="43"/>
      <c r="C55" s="43"/>
      <c r="D55" s="12">
        <f>MEDIAN(Tableau3[0723])</f>
        <v>1149.5</v>
      </c>
      <c r="E55" s="12">
        <f>MEDIAN(Tableau3[0823])</f>
        <v>1149.5</v>
      </c>
      <c r="F55" s="12">
        <f>MEDIAN(Tableau3[0923])</f>
        <v>1149</v>
      </c>
      <c r="G55" s="12"/>
      <c r="H55" s="12">
        <f>MEDIAN(Tableau3[1023])</f>
        <v>1142.7</v>
      </c>
      <c r="I55" s="12">
        <f>MEDIAN(Tableau3[Progression 1023])</f>
        <v>0</v>
      </c>
      <c r="J55" s="12">
        <f>MEDIAN(Tableau3[1123])</f>
        <v>1145.7</v>
      </c>
      <c r="K55" s="12" t="e">
        <f>MEDIAN(Tableau3[Progression 1123])</f>
        <v>#NUM!</v>
      </c>
      <c r="L55" s="12" t="e">
        <f>MEDIAN(Tableau3[1223])</f>
        <v>#NUM!</v>
      </c>
      <c r="M55" s="12" t="e">
        <f>MEDIAN(Tableau3[Progression 1223])</f>
        <v>#NUM!</v>
      </c>
      <c r="N55" s="12" t="e">
        <f>MEDIAN(Tableau3[0124])</f>
        <v>#NUM!</v>
      </c>
      <c r="O55" s="12" t="e">
        <f>MEDIAN(Tableau3[Progression 0124])</f>
        <v>#NUM!</v>
      </c>
      <c r="P55" s="12" t="e">
        <f>MEDIAN(Tableau3[0224])</f>
        <v>#NUM!</v>
      </c>
      <c r="Q55" s="12" t="e">
        <f>MEDIAN(Tableau3[Progression 0224])</f>
        <v>#NUM!</v>
      </c>
      <c r="R55" s="12" t="e">
        <f>MEDIAN(Tableau3[0324])</f>
        <v>#NUM!</v>
      </c>
      <c r="S55" s="12" t="e">
        <f>MEDIAN(Tableau3[Progression 0324])</f>
        <v>#NUM!</v>
      </c>
      <c r="T55" s="12" t="e">
        <f>MEDIAN(Tableau3[0424])</f>
        <v>#NUM!</v>
      </c>
      <c r="U55" s="12" t="e">
        <f>MEDIAN(Tableau3[Progression 0424])</f>
        <v>#NUM!</v>
      </c>
      <c r="V55" s="12" t="e">
        <f>MEDIAN(Tableau3[0524])</f>
        <v>#NUM!</v>
      </c>
      <c r="W55" s="12"/>
      <c r="X55" s="12" t="e">
        <f>MEDIAN(Tableau3[0624])</f>
        <v>#NUM!</v>
      </c>
      <c r="Y55" s="12"/>
      <c r="Z55" s="12" t="e">
        <f>MEDIAN(Tableau3[0724])</f>
        <v>#NUM!</v>
      </c>
      <c r="AA55" s="12" t="e">
        <f>MEDIAN(Tableau3[0824])</f>
        <v>#NUM!</v>
      </c>
      <c r="AB55" s="12" t="e">
        <f>MEDIAN(Tableau3[0924])</f>
        <v>#NUM!</v>
      </c>
    </row>
    <row r="57" spans="1:28" x14ac:dyDescent="0.2">
      <c r="A57" s="48" t="s">
        <v>126</v>
      </c>
      <c r="C57" s="49" t="s">
        <v>127</v>
      </c>
      <c r="E57" s="49"/>
    </row>
    <row r="58" spans="1:28" x14ac:dyDescent="0.2">
      <c r="A58" s="48"/>
      <c r="C58" s="49"/>
    </row>
  </sheetData>
  <conditionalFormatting sqref="I2:I19 G2:G50 K2:K50 M2:M50 O2:O50 Q2:Q50 S2:S50 U2:U50 W2:W50 Y2:Y50 I21:I28 I30:I50">
    <cfRule type="cellIs" dxfId="35" priority="1" stopIfTrue="1" operator="greaterThan">
      <formula>0</formula>
    </cfRule>
    <cfRule type="cellIs" dxfId="34" priority="2" stopIfTrue="1" operator="lessThan">
      <formula>0</formula>
    </cfRule>
    <cfRule type="cellIs" dxfId="33" priority="3" stopIfTrue="1" operator="equal">
      <formula>0</formula>
    </cfRule>
  </conditionalFormatting>
  <dataValidations count="1">
    <dataValidation allowBlank="1" showInputMessage="1" showErrorMessage="1" sqref="C2:C50" xr:uid="{084EDF53-703F-4C08-85F5-DEBCA1C6558F}"/>
  </dataValidations>
  <hyperlinks>
    <hyperlink ref="C57" r:id="rId1" location="page-6" xr:uid="{EAB97714-CF06-48AB-85E4-512FDA484892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Joueurs ASPTT Romans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VOSSEY - CABINET VOSSEY</dc:creator>
  <cp:lastModifiedBy>Jean-Baptiste VOSSEY - CABINET VOSSEY</cp:lastModifiedBy>
  <dcterms:created xsi:type="dcterms:W3CDTF">2023-11-08T07:38:54Z</dcterms:created>
  <dcterms:modified xsi:type="dcterms:W3CDTF">2023-11-08T07:40:06Z</dcterms:modified>
</cp:coreProperties>
</file>